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52f2b7d0a2c4423/Dokumente/Dokumente/Finanzen Eduardo/Business/10 unternehmen/"/>
    </mc:Choice>
  </mc:AlternateContent>
  <xr:revisionPtr revIDLastSave="110" documentId="14_{55096F90-82D1-48AF-8BA6-530BBF1BE28E}" xr6:coauthVersionLast="47" xr6:coauthVersionMax="47" xr10:uidLastSave="{A70696CF-D050-44F8-9D9B-9F28E3CFEEB5}"/>
  <bookViews>
    <workbookView xWindow="-110" yWindow="-110" windowWidth="19420" windowHeight="10300" tabRatio="500" activeTab="3" xr2:uid="{00000000-000D-0000-FFFF-FFFF00000000}"/>
  </bookViews>
  <sheets>
    <sheet name="3 Statement" sheetId="1" r:id="rId1"/>
    <sheet name="Scenario" sheetId="3" r:id="rId2"/>
    <sheet name="Rev build" sheetId="4" r:id="rId3"/>
    <sheet name="DCF" sheetId="2" r:id="rId4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2" l="1"/>
  <c r="D41" i="2"/>
  <c r="G29" i="1"/>
  <c r="G20" i="1"/>
  <c r="G30" i="1"/>
  <c r="H30" i="1"/>
  <c r="I30" i="1"/>
  <c r="J30" i="1"/>
  <c r="K30" i="1"/>
  <c r="H29" i="1"/>
  <c r="I29" i="1"/>
  <c r="J29" i="1"/>
  <c r="K29" i="1"/>
  <c r="G28" i="1"/>
  <c r="H28" i="1"/>
  <c r="I28" i="1"/>
  <c r="J28" i="1"/>
  <c r="K28" i="1"/>
  <c r="K14" i="1"/>
  <c r="J14" i="1"/>
  <c r="I14" i="1"/>
  <c r="H14" i="1"/>
  <c r="G14" i="1"/>
  <c r="D34" i="2"/>
  <c r="E38" i="4"/>
  <c r="E19" i="4"/>
  <c r="E17" i="4"/>
  <c r="F17" i="4" s="1"/>
  <c r="G17" i="4" s="1"/>
  <c r="H17" i="4" s="1"/>
  <c r="I17" i="4" s="1"/>
  <c r="E18" i="4"/>
  <c r="F18" i="4" s="1"/>
  <c r="G18" i="4" s="1"/>
  <c r="H18" i="4" s="1"/>
  <c r="I18" i="4" s="1"/>
  <c r="E26" i="4"/>
  <c r="E16" i="4"/>
  <c r="E23" i="4" s="1"/>
  <c r="F38" i="4"/>
  <c r="G38" i="4" s="1"/>
  <c r="H38" i="4" s="1"/>
  <c r="I38" i="4" s="1"/>
  <c r="E24" i="4"/>
  <c r="E25" i="4"/>
  <c r="D37" i="4"/>
  <c r="D36" i="4"/>
  <c r="D33" i="4"/>
  <c r="D32" i="4"/>
  <c r="D31" i="4"/>
  <c r="D30" i="4"/>
  <c r="D13" i="1"/>
  <c r="F13" i="1"/>
  <c r="E13" i="1"/>
  <c r="D15" i="1"/>
  <c r="D27" i="4"/>
  <c r="D26" i="4"/>
  <c r="D25" i="4"/>
  <c r="D24" i="4"/>
  <c r="D23" i="4"/>
  <c r="D20" i="4"/>
  <c r="E27" i="1"/>
  <c r="G78" i="1"/>
  <c r="F47" i="1"/>
  <c r="G44" i="1"/>
  <c r="H44" i="1" s="1"/>
  <c r="I44" i="1" s="1"/>
  <c r="J44" i="1" s="1"/>
  <c r="K44" i="1" s="1"/>
  <c r="C26" i="4"/>
  <c r="C33" i="4" s="1"/>
  <c r="C25" i="4"/>
  <c r="C32" i="4" s="1"/>
  <c r="C24" i="4"/>
  <c r="C31" i="4" s="1"/>
  <c r="C23" i="4"/>
  <c r="C30" i="4" s="1"/>
  <c r="C19" i="4"/>
  <c r="C18" i="4"/>
  <c r="C17" i="4"/>
  <c r="C16" i="4"/>
  <c r="J33" i="3"/>
  <c r="I33" i="3"/>
  <c r="H33" i="3"/>
  <c r="G33" i="3"/>
  <c r="F33" i="3"/>
  <c r="E31" i="3"/>
  <c r="F31" i="3" s="1"/>
  <c r="E28" i="3"/>
  <c r="F28" i="3" s="1"/>
  <c r="G28" i="3" s="1"/>
  <c r="H28" i="3" s="1"/>
  <c r="I28" i="3" s="1"/>
  <c r="J28" i="3" s="1"/>
  <c r="J26" i="3"/>
  <c r="I26" i="3"/>
  <c r="H26" i="3"/>
  <c r="G26" i="3"/>
  <c r="F26" i="3"/>
  <c r="J23" i="3"/>
  <c r="I23" i="3"/>
  <c r="H23" i="3"/>
  <c r="G23" i="3"/>
  <c r="F23" i="3"/>
  <c r="J21" i="3"/>
  <c r="I21" i="3"/>
  <c r="H21" i="3"/>
  <c r="G21" i="3"/>
  <c r="F21" i="3"/>
  <c r="J13" i="3"/>
  <c r="K13" i="1" s="1"/>
  <c r="I13" i="3"/>
  <c r="J13" i="1" s="1"/>
  <c r="H13" i="3"/>
  <c r="G13" i="3"/>
  <c r="F13" i="3"/>
  <c r="J12" i="3"/>
  <c r="K15" i="1" s="1"/>
  <c r="I12" i="3"/>
  <c r="J15" i="1" s="1"/>
  <c r="H12" i="3"/>
  <c r="I15" i="1" s="1"/>
  <c r="G12" i="3"/>
  <c r="H15" i="1" s="1"/>
  <c r="F12" i="3"/>
  <c r="G15" i="1" s="1"/>
  <c r="C12" i="3"/>
  <c r="J11" i="3"/>
  <c r="K16" i="1" s="1"/>
  <c r="I11" i="3"/>
  <c r="J16" i="1" s="1"/>
  <c r="H11" i="3"/>
  <c r="G11" i="3"/>
  <c r="F11" i="3"/>
  <c r="C3" i="3"/>
  <c r="C3" i="4" s="1"/>
  <c r="C4" i="2"/>
  <c r="F75" i="1"/>
  <c r="G72" i="1" s="1"/>
  <c r="F74" i="1"/>
  <c r="C54" i="1"/>
  <c r="E49" i="1"/>
  <c r="F48" i="1"/>
  <c r="F49" i="1"/>
  <c r="F45" i="1"/>
  <c r="E43" i="1"/>
  <c r="E45" i="1" s="1"/>
  <c r="F39" i="1"/>
  <c r="F40" i="1" s="1"/>
  <c r="E39" i="1"/>
  <c r="E40" i="1" s="1"/>
  <c r="C35" i="1"/>
  <c r="C34" i="1"/>
  <c r="F18" i="1"/>
  <c r="G18" i="1" s="1"/>
  <c r="H18" i="1" s="1"/>
  <c r="I18" i="1" s="1"/>
  <c r="J18" i="1" s="1"/>
  <c r="K18" i="1" s="1"/>
  <c r="E18" i="1"/>
  <c r="D18" i="1"/>
  <c r="I16" i="1"/>
  <c r="H16" i="1"/>
  <c r="G16" i="1"/>
  <c r="F16" i="1"/>
  <c r="F30" i="1" s="1"/>
  <c r="E16" i="1"/>
  <c r="E30" i="1" s="1"/>
  <c r="D16" i="1"/>
  <c r="D30" i="1" s="1"/>
  <c r="F15" i="1"/>
  <c r="F29" i="1" s="1"/>
  <c r="E15" i="1"/>
  <c r="E29" i="1" s="1"/>
  <c r="D29" i="1"/>
  <c r="D14" i="1"/>
  <c r="D28" i="1" s="1"/>
  <c r="I13" i="1"/>
  <c r="H13" i="1"/>
  <c r="G13" i="1"/>
  <c r="E14" i="1"/>
  <c r="F14" i="1"/>
  <c r="E12" i="1"/>
  <c r="F10" i="1"/>
  <c r="F7" i="3" s="1"/>
  <c r="G7" i="3" s="1"/>
  <c r="H7" i="3" s="1"/>
  <c r="I7" i="3" s="1"/>
  <c r="J7" i="3" s="1"/>
  <c r="F9" i="1"/>
  <c r="F34" i="1" s="1"/>
  <c r="C2" i="1"/>
  <c r="E13" i="4" l="1"/>
  <c r="E12" i="4"/>
  <c r="F12" i="4" s="1"/>
  <c r="G12" i="4" s="1"/>
  <c r="H12" i="4" s="1"/>
  <c r="I12" i="4" s="1"/>
  <c r="E10" i="1"/>
  <c r="E51" i="1"/>
  <c r="F16" i="4"/>
  <c r="G16" i="4" s="1"/>
  <c r="H16" i="4" s="1"/>
  <c r="I16" i="4" s="1"/>
  <c r="F19" i="4"/>
  <c r="G19" i="4" s="1"/>
  <c r="H19" i="4" s="1"/>
  <c r="I19" i="4" s="1"/>
  <c r="F23" i="4"/>
  <c r="G25" i="4"/>
  <c r="D17" i="1"/>
  <c r="D24" i="1" s="1"/>
  <c r="E20" i="4"/>
  <c r="E36" i="4" s="1"/>
  <c r="F25" i="4"/>
  <c r="E27" i="4"/>
  <c r="E37" i="4" s="1"/>
  <c r="E40" i="4" s="1"/>
  <c r="F24" i="4"/>
  <c r="G24" i="4"/>
  <c r="F51" i="1"/>
  <c r="F28" i="1"/>
  <c r="F17" i="1"/>
  <c r="E28" i="1"/>
  <c r="E17" i="1"/>
  <c r="H25" i="4"/>
  <c r="G38" i="1"/>
  <c r="G42" i="1"/>
  <c r="E10" i="2"/>
  <c r="E13" i="2"/>
  <c r="G10" i="1"/>
  <c r="G31" i="3"/>
  <c r="E70" i="1"/>
  <c r="H31" i="3"/>
  <c r="E9" i="1"/>
  <c r="D12" i="4" s="1"/>
  <c r="F35" i="1"/>
  <c r="F69" i="1"/>
  <c r="I31" i="3"/>
  <c r="E11" i="2"/>
  <c r="E33" i="2" s="1"/>
  <c r="F6" i="3"/>
  <c r="G6" i="3" s="1"/>
  <c r="H6" i="3" s="1"/>
  <c r="I6" i="3" s="1"/>
  <c r="J6" i="3" s="1"/>
  <c r="J31" i="3"/>
  <c r="F13" i="4"/>
  <c r="G13" i="4" s="1"/>
  <c r="H13" i="4" s="1"/>
  <c r="I13" i="4" s="1"/>
  <c r="F70" i="1"/>
  <c r="G9" i="1"/>
  <c r="F27" i="1"/>
  <c r="E14" i="2" s="1"/>
  <c r="F72" i="1"/>
  <c r="F73" i="1" s="1"/>
  <c r="G47" i="1"/>
  <c r="F20" i="4" l="1"/>
  <c r="F36" i="4" s="1"/>
  <c r="G23" i="4"/>
  <c r="E35" i="1"/>
  <c r="D13" i="4"/>
  <c r="D10" i="1"/>
  <c r="D70" i="1" s="1"/>
  <c r="D19" i="1"/>
  <c r="D31" i="1" s="1"/>
  <c r="F26" i="4"/>
  <c r="F27" i="4" s="1"/>
  <c r="E16" i="2"/>
  <c r="G20" i="4"/>
  <c r="G36" i="4" s="1"/>
  <c r="E31" i="4"/>
  <c r="E33" i="4"/>
  <c r="E32" i="4"/>
  <c r="E30" i="4"/>
  <c r="H38" i="1"/>
  <c r="I38" i="1" s="1"/>
  <c r="J38" i="1" s="1"/>
  <c r="K38" i="1" s="1"/>
  <c r="E34" i="1"/>
  <c r="E69" i="1"/>
  <c r="D9" i="1"/>
  <c r="D69" i="1" s="1"/>
  <c r="H24" i="4"/>
  <c r="I24" i="4"/>
  <c r="F10" i="2"/>
  <c r="G34" i="1"/>
  <c r="G54" i="1"/>
  <c r="H9" i="1"/>
  <c r="G69" i="1"/>
  <c r="H20" i="4"/>
  <c r="H36" i="4" s="1"/>
  <c r="E19" i="1"/>
  <c r="E31" i="1" s="1"/>
  <c r="E24" i="1"/>
  <c r="H23" i="4"/>
  <c r="F17" i="3"/>
  <c r="H42" i="1"/>
  <c r="E17" i="2"/>
  <c r="F19" i="1"/>
  <c r="F31" i="1" s="1"/>
  <c r="F24" i="1"/>
  <c r="E15" i="2" s="1"/>
  <c r="D21" i="1"/>
  <c r="F16" i="2"/>
  <c r="H47" i="1"/>
  <c r="F11" i="2"/>
  <c r="F33" i="2" s="1"/>
  <c r="G35" i="1"/>
  <c r="G55" i="1" s="1"/>
  <c r="H10" i="1"/>
  <c r="G70" i="1"/>
  <c r="I25" i="4"/>
  <c r="F33" i="4" l="1"/>
  <c r="F32" i="4"/>
  <c r="F31" i="4"/>
  <c r="G17" i="3"/>
  <c r="G18" i="3" s="1"/>
  <c r="F37" i="4"/>
  <c r="F40" i="4" s="1"/>
  <c r="F30" i="4"/>
  <c r="G26" i="4"/>
  <c r="G31" i="1"/>
  <c r="E21" i="2"/>
  <c r="I42" i="1"/>
  <c r="E21" i="1"/>
  <c r="H26" i="4"/>
  <c r="I26" i="4"/>
  <c r="I47" i="1"/>
  <c r="F18" i="3"/>
  <c r="F16" i="3"/>
  <c r="F10" i="3"/>
  <c r="G12" i="1" s="1"/>
  <c r="G27" i="1" s="1"/>
  <c r="F21" i="1"/>
  <c r="E20" i="2"/>
  <c r="E22" i="2" s="1"/>
  <c r="E29" i="2" s="1"/>
  <c r="E18" i="2"/>
  <c r="G27" i="4"/>
  <c r="G33" i="4" s="1"/>
  <c r="I23" i="4"/>
  <c r="G16" i="3"/>
  <c r="G10" i="3"/>
  <c r="H12" i="1" s="1"/>
  <c r="G16" i="2"/>
  <c r="G11" i="2"/>
  <c r="G33" i="2" s="1"/>
  <c r="H35" i="1"/>
  <c r="H55" i="1" s="1"/>
  <c r="I10" i="1"/>
  <c r="H70" i="1"/>
  <c r="H34" i="1"/>
  <c r="I9" i="1"/>
  <c r="H54" i="1"/>
  <c r="H69" i="1"/>
  <c r="G10" i="2"/>
  <c r="F21" i="2" l="1"/>
  <c r="H31" i="1"/>
  <c r="J9" i="1"/>
  <c r="I69" i="1"/>
  <c r="H10" i="2"/>
  <c r="I54" i="1"/>
  <c r="I34" i="1"/>
  <c r="J42" i="1"/>
  <c r="H16" i="2"/>
  <c r="H17" i="3"/>
  <c r="G37" i="4"/>
  <c r="G40" i="4" s="1"/>
  <c r="G31" i="4"/>
  <c r="G30" i="4"/>
  <c r="G32" i="4"/>
  <c r="H27" i="4"/>
  <c r="H33" i="4" s="1"/>
  <c r="F13" i="2"/>
  <c r="G17" i="1"/>
  <c r="I27" i="4"/>
  <c r="I33" i="4" s="1"/>
  <c r="H27" i="1"/>
  <c r="G14" i="2" s="1"/>
  <c r="G13" i="2"/>
  <c r="H17" i="1"/>
  <c r="H11" i="2"/>
  <c r="H33" i="2" s="1"/>
  <c r="I35" i="1"/>
  <c r="I55" i="1" s="1"/>
  <c r="J10" i="1"/>
  <c r="I70" i="1"/>
  <c r="I20" i="4"/>
  <c r="I36" i="4" s="1"/>
  <c r="J47" i="1"/>
  <c r="G21" i="2" l="1"/>
  <c r="I31" i="1"/>
  <c r="K42" i="1"/>
  <c r="I17" i="3"/>
  <c r="H37" i="4"/>
  <c r="H40" i="4" s="1"/>
  <c r="H31" i="4"/>
  <c r="H30" i="4"/>
  <c r="H32" i="4"/>
  <c r="I11" i="2"/>
  <c r="I33" i="2" s="1"/>
  <c r="J35" i="1"/>
  <c r="J55" i="1" s="1"/>
  <c r="K10" i="1"/>
  <c r="J70" i="1"/>
  <c r="H19" i="1"/>
  <c r="G17" i="2"/>
  <c r="J17" i="3"/>
  <c r="I37" i="4"/>
  <c r="I40" i="4" s="1"/>
  <c r="I31" i="4"/>
  <c r="I32" i="4"/>
  <c r="I30" i="4"/>
  <c r="G43" i="1"/>
  <c r="F14" i="2"/>
  <c r="G23" i="1"/>
  <c r="G37" i="1"/>
  <c r="G73" i="1"/>
  <c r="H10" i="3"/>
  <c r="I12" i="1" s="1"/>
  <c r="H18" i="3"/>
  <c r="H16" i="3"/>
  <c r="K9" i="1"/>
  <c r="J34" i="1"/>
  <c r="J69" i="1"/>
  <c r="I10" i="2"/>
  <c r="J54" i="1"/>
  <c r="K47" i="1"/>
  <c r="F17" i="2"/>
  <c r="F18" i="2" s="1"/>
  <c r="G19" i="1"/>
  <c r="J16" i="2"/>
  <c r="I16" i="2"/>
  <c r="H21" i="2" l="1"/>
  <c r="J31" i="1"/>
  <c r="H43" i="1"/>
  <c r="G45" i="1"/>
  <c r="G60" i="1"/>
  <c r="K69" i="1"/>
  <c r="J10" i="2"/>
  <c r="K54" i="1"/>
  <c r="K34" i="1"/>
  <c r="J11" i="2"/>
  <c r="K35" i="1"/>
  <c r="K55" i="1" s="1"/>
  <c r="K70" i="1"/>
  <c r="J10" i="3"/>
  <c r="K12" i="1" s="1"/>
  <c r="J16" i="3"/>
  <c r="J18" i="3"/>
  <c r="I18" i="3"/>
  <c r="I10" i="3"/>
  <c r="J12" i="1" s="1"/>
  <c r="I16" i="3"/>
  <c r="G59" i="1"/>
  <c r="H37" i="1"/>
  <c r="G18" i="2"/>
  <c r="G20" i="2"/>
  <c r="G22" i="2" s="1"/>
  <c r="G74" i="1"/>
  <c r="G75" i="1" s="1"/>
  <c r="H23" i="1"/>
  <c r="F24" i="2"/>
  <c r="G58" i="1"/>
  <c r="G24" i="1"/>
  <c r="F15" i="2" s="1"/>
  <c r="F20" i="2"/>
  <c r="F22" i="2" s="1"/>
  <c r="I27" i="1"/>
  <c r="H14" i="2" s="1"/>
  <c r="I17" i="1"/>
  <c r="H13" i="2"/>
  <c r="G21" i="1"/>
  <c r="F26" i="2"/>
  <c r="F27" i="2" s="1"/>
  <c r="H73" i="1"/>
  <c r="G63" i="1"/>
  <c r="G64" i="1" s="1"/>
  <c r="H20" i="1"/>
  <c r="H21" i="1" s="1"/>
  <c r="F25" i="2" l="1"/>
  <c r="K31" i="1"/>
  <c r="J21" i="2" s="1"/>
  <c r="I21" i="2"/>
  <c r="F29" i="2"/>
  <c r="F34" i="2" s="1"/>
  <c r="F35" i="2" s="1"/>
  <c r="H72" i="1"/>
  <c r="G39" i="1"/>
  <c r="H79" i="1"/>
  <c r="H57" i="1"/>
  <c r="H74" i="1"/>
  <c r="I23" i="1"/>
  <c r="G24" i="2"/>
  <c r="H58" i="1"/>
  <c r="H24" i="1"/>
  <c r="G15" i="2" s="1"/>
  <c r="H59" i="1"/>
  <c r="I37" i="1"/>
  <c r="H63" i="1"/>
  <c r="H64" i="1" s="1"/>
  <c r="G26" i="2"/>
  <c r="G27" i="2" s="1"/>
  <c r="I73" i="1"/>
  <c r="I19" i="1"/>
  <c r="H17" i="2"/>
  <c r="I43" i="1"/>
  <c r="H45" i="1"/>
  <c r="H60" i="1"/>
  <c r="J13" i="2"/>
  <c r="K17" i="1"/>
  <c r="K27" i="1"/>
  <c r="J14" i="2" s="1"/>
  <c r="J33" i="2"/>
  <c r="C39" i="2"/>
  <c r="C40" i="2"/>
  <c r="I13" i="2"/>
  <c r="J17" i="1"/>
  <c r="J27" i="1"/>
  <c r="I14" i="2" s="1"/>
  <c r="G57" i="1"/>
  <c r="G61" i="1" s="1"/>
  <c r="G66" i="1" s="1"/>
  <c r="G36" i="1" s="1"/>
  <c r="G79" i="1"/>
  <c r="G80" i="1" s="1"/>
  <c r="G48" i="1" s="1"/>
  <c r="G40" i="1" l="1"/>
  <c r="H26" i="2"/>
  <c r="H27" i="2" s="1"/>
  <c r="J73" i="1"/>
  <c r="I63" i="1"/>
  <c r="I64" i="1" s="1"/>
  <c r="J19" i="1"/>
  <c r="I17" i="2"/>
  <c r="I74" i="1"/>
  <c r="J23" i="1"/>
  <c r="H24" i="2"/>
  <c r="I58" i="1"/>
  <c r="I24" i="1"/>
  <c r="H15" i="2" s="1"/>
  <c r="H20" i="2"/>
  <c r="H22" i="2" s="1"/>
  <c r="H18" i="2"/>
  <c r="K19" i="1"/>
  <c r="J17" i="2"/>
  <c r="I59" i="1"/>
  <c r="J37" i="1"/>
  <c r="H75" i="1"/>
  <c r="J43" i="1"/>
  <c r="I45" i="1"/>
  <c r="I60" i="1"/>
  <c r="H61" i="1"/>
  <c r="H66" i="1" s="1"/>
  <c r="H36" i="1" s="1"/>
  <c r="I20" i="1"/>
  <c r="I21" i="1" s="1"/>
  <c r="H78" i="1"/>
  <c r="H80" i="1" s="1"/>
  <c r="G49" i="1"/>
  <c r="G25" i="2"/>
  <c r="G29" i="2" s="1"/>
  <c r="G34" i="2" s="1"/>
  <c r="G35" i="2" s="1"/>
  <c r="H25" i="2" l="1"/>
  <c r="K43" i="1"/>
  <c r="J45" i="1"/>
  <c r="J60" i="1"/>
  <c r="I20" i="2"/>
  <c r="I18" i="2"/>
  <c r="I22" i="2"/>
  <c r="K37" i="1"/>
  <c r="K59" i="1" s="1"/>
  <c r="J59" i="1"/>
  <c r="I25" i="2" s="1"/>
  <c r="H29" i="2"/>
  <c r="H34" i="2" s="1"/>
  <c r="H35" i="2" s="1"/>
  <c r="K23" i="1"/>
  <c r="I24" i="2"/>
  <c r="J58" i="1"/>
  <c r="J74" i="1"/>
  <c r="J20" i="1"/>
  <c r="J21" i="1" s="1"/>
  <c r="G51" i="1"/>
  <c r="I72" i="1"/>
  <c r="I75" i="1" s="1"/>
  <c r="H39" i="1"/>
  <c r="H40" i="1" s="1"/>
  <c r="J18" i="2"/>
  <c r="J20" i="2"/>
  <c r="J22" i="2" s="1"/>
  <c r="J24" i="1"/>
  <c r="I15" i="2" s="1"/>
  <c r="I78" i="1"/>
  <c r="H48" i="1"/>
  <c r="H49" i="1" s="1"/>
  <c r="K20" i="1"/>
  <c r="K21" i="1" s="1"/>
  <c r="I57" i="1"/>
  <c r="I61" i="1" s="1"/>
  <c r="I66" i="1" s="1"/>
  <c r="I36" i="1" s="1"/>
  <c r="I79" i="1"/>
  <c r="I26" i="2"/>
  <c r="I27" i="2" s="1"/>
  <c r="K73" i="1"/>
  <c r="J63" i="1"/>
  <c r="J64" i="1" s="1"/>
  <c r="H51" i="1" l="1"/>
  <c r="I29" i="2"/>
  <c r="I34" i="2" s="1"/>
  <c r="I35" i="2" s="1"/>
  <c r="J57" i="1"/>
  <c r="J61" i="1" s="1"/>
  <c r="J66" i="1" s="1"/>
  <c r="J36" i="1" s="1"/>
  <c r="J79" i="1"/>
  <c r="K45" i="1"/>
  <c r="K60" i="1"/>
  <c r="J25" i="2" s="1"/>
  <c r="I39" i="1"/>
  <c r="I40" i="1" s="1"/>
  <c r="J72" i="1"/>
  <c r="J75" i="1" s="1"/>
  <c r="J26" i="2"/>
  <c r="J27" i="2" s="1"/>
  <c r="K63" i="1"/>
  <c r="K64" i="1" s="1"/>
  <c r="I80" i="1"/>
  <c r="K79" i="1"/>
  <c r="K57" i="1"/>
  <c r="K74" i="1"/>
  <c r="J24" i="2"/>
  <c r="K58" i="1"/>
  <c r="K24" i="1"/>
  <c r="J15" i="2" s="1"/>
  <c r="J29" i="2" l="1"/>
  <c r="K61" i="1"/>
  <c r="K66" i="1" s="1"/>
  <c r="K36" i="1" s="1"/>
  <c r="J78" i="1"/>
  <c r="J80" i="1" s="1"/>
  <c r="I48" i="1"/>
  <c r="I49" i="1" s="1"/>
  <c r="I51" i="1" s="1"/>
  <c r="J39" i="1"/>
  <c r="J40" i="1" s="1"/>
  <c r="K72" i="1"/>
  <c r="K75" i="1" s="1"/>
  <c r="K39" i="1" s="1"/>
  <c r="K40" i="1" l="1"/>
  <c r="J48" i="1"/>
  <c r="J49" i="1" s="1"/>
  <c r="J51" i="1" s="1"/>
  <c r="K78" i="1"/>
  <c r="K80" i="1" s="1"/>
  <c r="K48" i="1" s="1"/>
  <c r="K49" i="1" s="1"/>
  <c r="K51" i="1" s="1"/>
  <c r="D39" i="2"/>
  <c r="J34" i="2"/>
  <c r="J35" i="2" s="1"/>
  <c r="D42" i="2" s="1"/>
  <c r="D43" i="2" l="1"/>
</calcChain>
</file>

<file path=xl/sharedStrings.xml><?xml version="1.0" encoding="utf-8"?>
<sst xmlns="http://schemas.openxmlformats.org/spreadsheetml/2006/main" count="166" uniqueCount="123">
  <si>
    <t>Jourdan Partners</t>
  </si>
  <si>
    <t>in CHF</t>
  </si>
  <si>
    <t>Company name</t>
  </si>
  <si>
    <t>X</t>
  </si>
  <si>
    <t>Latest fiscal year end date</t>
  </si>
  <si>
    <t>INCOME STATEMENT</t>
  </si>
  <si>
    <t>Fiscal year</t>
  </si>
  <si>
    <t>Fiscal year end date</t>
  </si>
  <si>
    <t>Revenue</t>
  </si>
  <si>
    <t>Cost of sales</t>
  </si>
  <si>
    <t>Gross Profit</t>
  </si>
  <si>
    <t>Net income</t>
  </si>
  <si>
    <t>Research &amp; development</t>
  </si>
  <si>
    <t>Selling, general &amp; administrative</t>
  </si>
  <si>
    <t>Operating profit (EBIT)</t>
  </si>
  <si>
    <t>Interest expense</t>
  </si>
  <si>
    <t>Pretax profit</t>
  </si>
  <si>
    <t>Taxes</t>
  </si>
  <si>
    <t>Depreciation &amp; amortization</t>
  </si>
  <si>
    <t>EBITDA</t>
  </si>
  <si>
    <t>Growth rates &amp; margins</t>
  </si>
  <si>
    <t>Revenue growth</t>
  </si>
  <si>
    <t>Gross profit margin</t>
  </si>
  <si>
    <t>R&amp;D % of sales</t>
  </si>
  <si>
    <t>SG&amp;A % of sales</t>
  </si>
  <si>
    <t>Tax rate</t>
  </si>
  <si>
    <t>BALANCE SHEET</t>
  </si>
  <si>
    <t>Cash &amp; equivalents, ST and LT marketable securities</t>
  </si>
  <si>
    <t>Accounts receivable</t>
  </si>
  <si>
    <t>Inventories</t>
  </si>
  <si>
    <t>Property, plant &amp; equipment</t>
  </si>
  <si>
    <t>Total assets</t>
  </si>
  <si>
    <t>Accounts payable</t>
  </si>
  <si>
    <t>Other current liabilities</t>
  </si>
  <si>
    <t>Long term debt (includes current portion)</t>
  </si>
  <si>
    <t>Total liabilities</t>
  </si>
  <si>
    <t>Initial Investment</t>
  </si>
  <si>
    <t>Retained earnings</t>
  </si>
  <si>
    <t>Total equity</t>
  </si>
  <si>
    <t>Balance check</t>
  </si>
  <si>
    <t>CASH FLOW STATEMENT</t>
  </si>
  <si>
    <t>Depreciation and amortization</t>
  </si>
  <si>
    <t>Decreases / (Increases) in working capital assets</t>
  </si>
  <si>
    <t>Increases / (Decreases) in working capital liabilities</t>
  </si>
  <si>
    <t>Cash from operating activities</t>
  </si>
  <si>
    <t>Capital expenditures</t>
  </si>
  <si>
    <t>Cash from investing activities</t>
  </si>
  <si>
    <t>Net change in cash during period</t>
  </si>
  <si>
    <t>PROPERTY, PLANT &amp; EQUIPMENT</t>
  </si>
  <si>
    <t>Beginning of period</t>
  </si>
  <si>
    <t>Plus: Capital expenditures</t>
  </si>
  <si>
    <t>Less: Depreciation</t>
  </si>
  <si>
    <t>End of period</t>
  </si>
  <si>
    <t>RETAINED EARNINGS</t>
  </si>
  <si>
    <t>Plus: Net income</t>
  </si>
  <si>
    <t>Discounted Cash Flow Valuation</t>
  </si>
  <si>
    <t>Discount rate (WACC)</t>
  </si>
  <si>
    <t>Unlevered Free Cash Flows</t>
  </si>
  <si>
    <t>% growth</t>
  </si>
  <si>
    <t>% margin</t>
  </si>
  <si>
    <t>EBIT</t>
  </si>
  <si>
    <t>Tax on EBIT</t>
  </si>
  <si>
    <t>NOPAT</t>
  </si>
  <si>
    <t>Changes in net working capital</t>
  </si>
  <si>
    <t>as % of revenue</t>
  </si>
  <si>
    <t>Unlevered free cash flows (UFCF)</t>
  </si>
  <si>
    <t>Val Date</t>
  </si>
  <si>
    <t>Yr 1 - Stub</t>
  </si>
  <si>
    <t>Year 2</t>
  </si>
  <si>
    <t>Year 3</t>
  </si>
  <si>
    <t>Year 4</t>
  </si>
  <si>
    <t>Year 5</t>
  </si>
  <si>
    <t>Date for discounting cash flows</t>
  </si>
  <si>
    <t>Unlevered free cash flows (UFCF) stub adjusted</t>
  </si>
  <si>
    <t>Present value of unlevered free cash flows</t>
  </si>
  <si>
    <t>Terminal value - growth in perpetuity approach</t>
  </si>
  <si>
    <t>Long term growth rate</t>
  </si>
  <si>
    <t>Present value of terminal value</t>
  </si>
  <si>
    <t>PV of forecast-period cash flows</t>
  </si>
  <si>
    <t>Total enterprise value (TEV)</t>
  </si>
  <si>
    <t>Scenario Analysis for X</t>
  </si>
  <si>
    <t xml:space="preserve">Fiscal year  </t>
  </si>
  <si>
    <t>Active case</t>
  </si>
  <si>
    <t>Base case</t>
  </si>
  <si>
    <t>Customer Revenue</t>
  </si>
  <si>
    <t>SG&amp;A</t>
  </si>
  <si>
    <t>Best case</t>
  </si>
  <si>
    <t>NM</t>
  </si>
  <si>
    <t>Weak case</t>
  </si>
  <si>
    <t>Research &amp; Development</t>
  </si>
  <si>
    <t>Revenue Build for X</t>
  </si>
  <si>
    <t>Service</t>
  </si>
  <si>
    <t>A</t>
  </si>
  <si>
    <t>B</t>
  </si>
  <si>
    <t>C</t>
  </si>
  <si>
    <t>D</t>
  </si>
  <si>
    <t>Number of services</t>
  </si>
  <si>
    <t>Total</t>
  </si>
  <si>
    <t>Revenue in CHF by service</t>
  </si>
  <si>
    <t>Distribution of revenue by service</t>
  </si>
  <si>
    <t>Customer data</t>
  </si>
  <si>
    <t>Average service number per customer</t>
  </si>
  <si>
    <t>Average revenue by customer</t>
  </si>
  <si>
    <t>Total Customers</t>
  </si>
  <si>
    <t>Total revenue</t>
  </si>
  <si>
    <t>Assumption: Straight Line</t>
  </si>
  <si>
    <t>Present value of UFCF</t>
  </si>
  <si>
    <t>Price in CHF</t>
  </si>
  <si>
    <t>Assumption: Increase by 10% every year</t>
  </si>
  <si>
    <t>Assumption: 23% more services per year</t>
  </si>
  <si>
    <t>Assumption: 20% more services per year</t>
  </si>
  <si>
    <t>Assumption: 30% more services per year</t>
  </si>
  <si>
    <t>Assumption: 17% more services per year</t>
  </si>
  <si>
    <t>Key assumptions</t>
  </si>
  <si>
    <t>Customer increase per year</t>
  </si>
  <si>
    <t>Increase per year Service A</t>
  </si>
  <si>
    <t>Increase per year Service B</t>
  </si>
  <si>
    <t>Increase per year Service C</t>
  </si>
  <si>
    <t>Increase per year Service D</t>
  </si>
  <si>
    <t>Assumption: As operational efficiency improves, SG&amp;A grows at a slower rate than revenue.</t>
  </si>
  <si>
    <t>As the company is not expected to significantly increase its development spending, R&amp;D is assumed to grow at a slower rate than revenue.</t>
  </si>
  <si>
    <t>Assumption: As the company is expected to benefit from economies of scale, cost of sales is assumed to grow at a slower rate than revenue.</t>
  </si>
  <si>
    <t>Stub period is manually adjustable for FCF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</si>
</sst>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/d/yyyy"/>
    <numFmt numFmtId="165" formatCode="m/d/yy;@"/>
    <numFmt numFmtId="166" formatCode="0\A;[Red]0\A"/>
    <numFmt numFmtId="167" formatCode="0\P;[Red]0\P"/>
    <numFmt numFmtId="168" formatCode="#,##0_);\(#,##0\)"/>
    <numFmt numFmtId="169" formatCode="_ * #,##0_ ;_ * \-#,##0_ ;_ * \-_ ;_ @_ "/>
    <numFmt numFmtId="170" formatCode="_(#,##0.0%_);\(#,##0.0%\);_(\–_)_%;_(@_)_%"/>
    <numFmt numFmtId="171" formatCode="0.0%_);\(0.0%\);@_)"/>
    <numFmt numFmtId="172" formatCode="0000\P"/>
    <numFmt numFmtId="173" formatCode="#,##0_);\(#,##0\);@_)"/>
    <numFmt numFmtId="174" formatCode="d/m/yy;@"/>
    <numFmt numFmtId="175" formatCode="&quot;CHF &quot;#,##0.00;&quot;CHF -&quot;#,##0.00"/>
    <numFmt numFmtId="176" formatCode="_ * #,##0.0_ ;_ * \-#,##0.0_ ;_ * \-?_ ;_ @_ "/>
  </numFmts>
  <fonts count="20" x14ac:knownFonts="1">
    <font>
      <sz val="11"/>
      <color theme="1"/>
      <name val="Aptos Narrow"/>
      <family val="2"/>
      <charset val="1"/>
    </font>
    <font>
      <b/>
      <sz val="14"/>
      <color rgb="FFFFFFFF"/>
      <name val="Aptos Narrow"/>
      <family val="2"/>
    </font>
    <font>
      <sz val="11"/>
      <color rgb="FFFFFFFF"/>
      <name val="Aptos Narrow"/>
      <family val="2"/>
    </font>
    <font>
      <i/>
      <sz val="11"/>
      <color rgb="FF6B5A56"/>
      <name val="Aptos Narrow"/>
      <family val="2"/>
    </font>
    <font>
      <sz val="11"/>
      <color rgb="FF000000"/>
      <name val="Aptos Narrow"/>
      <family val="2"/>
    </font>
    <font>
      <sz val="11"/>
      <color rgb="FF0000FF"/>
      <name val="Aptos Narrow"/>
      <family val="2"/>
    </font>
    <font>
      <sz val="11"/>
      <color rgb="FF0000FF"/>
      <name val="Aptos Narrow"/>
      <family val="2"/>
      <charset val="1"/>
    </font>
    <font>
      <b/>
      <sz val="11"/>
      <color rgb="FF000000"/>
      <name val="Aptos Narrow"/>
      <family val="2"/>
    </font>
    <font>
      <i/>
      <sz val="11"/>
      <color theme="1"/>
      <name val="Aptos Narrow"/>
      <family val="2"/>
      <charset val="1"/>
    </font>
    <font>
      <i/>
      <sz val="11"/>
      <color rgb="FF0000FF"/>
      <name val="Aptos Narrow"/>
      <family val="2"/>
      <charset val="1"/>
    </font>
    <font>
      <sz val="11"/>
      <color rgb="FF008000"/>
      <name val="Aptos Narrow"/>
      <family val="2"/>
    </font>
    <font>
      <b/>
      <sz val="11"/>
      <color rgb="FF000000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11"/>
      <color rgb="FF000000"/>
      <name val="Aptos Narrow"/>
      <family val="2"/>
      <charset val="1"/>
    </font>
    <font>
      <b/>
      <sz val="11"/>
      <color rgb="FF0000FF"/>
      <name val="Aptos Narrow"/>
      <family val="2"/>
    </font>
    <font>
      <sz val="11"/>
      <color rgb="FF008000"/>
      <name val="Aptos Narrow"/>
      <family val="2"/>
      <charset val="1"/>
    </font>
    <font>
      <i/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i/>
      <sz val="11"/>
      <color rgb="FFCAB19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49332B"/>
        <bgColor rgb="FF333300"/>
      </patternFill>
    </fill>
    <fill>
      <patternFill patternType="solid">
        <fgColor rgb="FFC9DAF8"/>
        <bgColor rgb="FFD9D9D9"/>
      </patternFill>
    </fill>
    <fill>
      <patternFill patternType="solid">
        <fgColor rgb="FFF7F3EE"/>
        <bgColor rgb="FFFFFFFF"/>
      </patternFill>
    </fill>
    <fill>
      <patternFill patternType="solid">
        <fgColor rgb="FFC4A486"/>
        <bgColor rgb="FF969696"/>
      </patternFill>
    </fill>
    <fill>
      <patternFill patternType="solid">
        <fgColor theme="2" tint="-0.249977111117893"/>
        <bgColor rgb="FF969696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2" xfId="0" applyBorder="1"/>
    <xf numFmtId="0" fontId="4" fillId="0" borderId="0" xfId="0" applyFont="1"/>
    <xf numFmtId="0" fontId="5" fillId="3" borderId="0" xfId="0" applyFont="1" applyFill="1" applyAlignment="1">
      <alignment horizontal="center"/>
    </xf>
    <xf numFmtId="165" fontId="5" fillId="3" borderId="0" xfId="0" applyNumberFormat="1" applyFont="1" applyFill="1" applyAlignment="1">
      <alignment horizontal="center"/>
    </xf>
    <xf numFmtId="0" fontId="6" fillId="0" borderId="0" xfId="0" applyFont="1"/>
    <xf numFmtId="0" fontId="8" fillId="0" borderId="0" xfId="0" applyFont="1"/>
    <xf numFmtId="165" fontId="9" fillId="0" borderId="0" xfId="0" applyNumberFormat="1" applyFont="1"/>
    <xf numFmtId="165" fontId="8" fillId="0" borderId="0" xfId="0" applyNumberFormat="1" applyFont="1"/>
    <xf numFmtId="168" fontId="5" fillId="0" borderId="0" xfId="0" applyNumberFormat="1" applyFont="1"/>
    <xf numFmtId="169" fontId="10" fillId="4" borderId="0" xfId="0" applyNumberFormat="1" applyFont="1" applyFill="1"/>
    <xf numFmtId="169" fontId="4" fillId="4" borderId="0" xfId="0" applyNumberFormat="1" applyFont="1" applyFill="1"/>
    <xf numFmtId="0" fontId="7" fillId="0" borderId="4" xfId="0" applyFont="1" applyBorder="1"/>
    <xf numFmtId="169" fontId="7" fillId="4" borderId="4" xfId="0" applyNumberFormat="1" applyFont="1" applyFill="1" applyBorder="1"/>
    <xf numFmtId="0" fontId="7" fillId="0" borderId="0" xfId="0" applyFont="1"/>
    <xf numFmtId="168" fontId="4" fillId="0" borderId="0" xfId="0" applyNumberFormat="1" applyFont="1"/>
    <xf numFmtId="0" fontId="0" fillId="0" borderId="0" xfId="0" applyAlignment="1">
      <alignment horizontal="left" indent="1"/>
    </xf>
    <xf numFmtId="0" fontId="4" fillId="0" borderId="0" xfId="0" applyFont="1" applyAlignment="1">
      <alignment horizontal="left"/>
    </xf>
    <xf numFmtId="168" fontId="4" fillId="4" borderId="0" xfId="0" applyNumberFormat="1" applyFont="1" applyFill="1"/>
    <xf numFmtId="0" fontId="4" fillId="0" borderId="0" xfId="0" applyFont="1" applyAlignment="1">
      <alignment horizontal="left" indent="1"/>
    </xf>
    <xf numFmtId="168" fontId="6" fillId="0" borderId="0" xfId="0" applyNumberFormat="1" applyFont="1"/>
    <xf numFmtId="0" fontId="0" fillId="0" borderId="0" xfId="0" applyAlignment="1">
      <alignment horizontal="left"/>
    </xf>
    <xf numFmtId="168" fontId="0" fillId="0" borderId="0" xfId="0" applyNumberFormat="1"/>
    <xf numFmtId="3" fontId="0" fillId="0" borderId="0" xfId="0" applyNumberFormat="1"/>
    <xf numFmtId="0" fontId="12" fillId="0" borderId="0" xfId="0" applyFont="1" applyAlignment="1">
      <alignment horizontal="left"/>
    </xf>
    <xf numFmtId="168" fontId="11" fillId="0" borderId="0" xfId="0" applyNumberFormat="1" applyFont="1"/>
    <xf numFmtId="0" fontId="5" fillId="0" borderId="0" xfId="0" applyFont="1"/>
    <xf numFmtId="0" fontId="4" fillId="4" borderId="0" xfId="0" applyFont="1" applyFill="1"/>
    <xf numFmtId="168" fontId="8" fillId="0" borderId="0" xfId="0" applyNumberFormat="1" applyFont="1"/>
    <xf numFmtId="0" fontId="12" fillId="0" borderId="0" xfId="0" applyFont="1"/>
    <xf numFmtId="0" fontId="2" fillId="2" borderId="1" xfId="0" applyFont="1" applyFill="1" applyBorder="1" applyAlignment="1">
      <alignment horizontal="right"/>
    </xf>
    <xf numFmtId="171" fontId="5" fillId="3" borderId="0" xfId="0" applyNumberFormat="1" applyFont="1" applyFill="1"/>
    <xf numFmtId="172" fontId="12" fillId="0" borderId="0" xfId="0" applyNumberFormat="1" applyFont="1"/>
    <xf numFmtId="173" fontId="13" fillId="0" borderId="0" xfId="0" applyNumberFormat="1" applyFont="1"/>
    <xf numFmtId="173" fontId="15" fillId="0" borderId="0" xfId="0" applyNumberFormat="1" applyFont="1"/>
    <xf numFmtId="170" fontId="5" fillId="3" borderId="0" xfId="0" applyNumberFormat="1" applyFont="1" applyFill="1"/>
    <xf numFmtId="173" fontId="6" fillId="0" borderId="0" xfId="0" applyNumberFormat="1" applyFont="1"/>
    <xf numFmtId="170" fontId="13" fillId="0" borderId="0" xfId="0" applyNumberFormat="1" applyFont="1"/>
    <xf numFmtId="0" fontId="13" fillId="0" borderId="0" xfId="0" applyFont="1" applyAlignment="1">
      <alignment horizontal="center"/>
    </xf>
    <xf numFmtId="9" fontId="5" fillId="3" borderId="0" xfId="0" applyNumberFormat="1" applyFont="1" applyFill="1"/>
    <xf numFmtId="173" fontId="0" fillId="0" borderId="0" xfId="0" applyNumberFormat="1"/>
    <xf numFmtId="173" fontId="4" fillId="0" borderId="0" xfId="0" applyNumberFormat="1" applyFont="1"/>
    <xf numFmtId="0" fontId="11" fillId="0" borderId="0" xfId="0" applyFont="1"/>
    <xf numFmtId="173" fontId="7" fillId="4" borderId="0" xfId="0" applyNumberFormat="1" applyFont="1" applyFill="1"/>
    <xf numFmtId="172" fontId="4" fillId="0" borderId="0" xfId="0" applyNumberFormat="1" applyFont="1"/>
    <xf numFmtId="173" fontId="4" fillId="4" borderId="0" xfId="0" applyNumberFormat="1" applyFont="1" applyFill="1"/>
    <xf numFmtId="0" fontId="8" fillId="0" borderId="0" xfId="0" applyFont="1" applyAlignment="1">
      <alignment horizontal="left"/>
    </xf>
    <xf numFmtId="9" fontId="0" fillId="0" borderId="0" xfId="0" applyNumberFormat="1"/>
    <xf numFmtId="164" fontId="8" fillId="0" borderId="0" xfId="0" applyNumberFormat="1" applyFont="1"/>
    <xf numFmtId="175" fontId="14" fillId="3" borderId="0" xfId="0" applyNumberFormat="1" applyFont="1" applyFill="1"/>
    <xf numFmtId="0" fontId="0" fillId="0" borderId="5" xfId="0" applyBorder="1"/>
    <xf numFmtId="0" fontId="12" fillId="0" borderId="1" xfId="0" applyFont="1" applyBorder="1"/>
    <xf numFmtId="0" fontId="0" fillId="0" borderId="6" xfId="0" applyBorder="1"/>
    <xf numFmtId="9" fontId="5" fillId="3" borderId="6" xfId="0" applyNumberFormat="1" applyFont="1" applyFill="1" applyBorder="1"/>
    <xf numFmtId="169" fontId="4" fillId="0" borderId="0" xfId="0" applyNumberFormat="1" applyFont="1"/>
    <xf numFmtId="169" fontId="10" fillId="0" borderId="0" xfId="0" applyNumberFormat="1" applyFont="1"/>
    <xf numFmtId="0" fontId="5" fillId="3" borderId="0" xfId="0" applyFont="1" applyFill="1"/>
    <xf numFmtId="176" fontId="4" fillId="4" borderId="0" xfId="0" applyNumberFormat="1" applyFont="1" applyFill="1"/>
    <xf numFmtId="169" fontId="7" fillId="4" borderId="0" xfId="0" applyNumberFormat="1" applyFont="1" applyFill="1"/>
    <xf numFmtId="0" fontId="1" fillId="2" borderId="0" xfId="0" applyFont="1" applyFill="1"/>
    <xf numFmtId="0" fontId="12" fillId="2" borderId="0" xfId="0" applyFont="1" applyFill="1"/>
    <xf numFmtId="166" fontId="7" fillId="0" borderId="0" xfId="0" applyNumberFormat="1" applyFont="1"/>
    <xf numFmtId="167" fontId="7" fillId="0" borderId="0" xfId="0" applyNumberFormat="1" applyFont="1"/>
    <xf numFmtId="0" fontId="16" fillId="0" borderId="3" xfId="0" applyFont="1" applyBorder="1"/>
    <xf numFmtId="165" fontId="16" fillId="0" borderId="3" xfId="0" applyNumberFormat="1" applyFont="1" applyBorder="1"/>
    <xf numFmtId="166" fontId="7" fillId="0" borderId="4" xfId="0" applyNumberFormat="1" applyFont="1" applyBorder="1"/>
    <xf numFmtId="167" fontId="7" fillId="0" borderId="4" xfId="0" applyNumberFormat="1" applyFont="1" applyBorder="1"/>
    <xf numFmtId="0" fontId="16" fillId="0" borderId="0" xfId="0" applyFont="1"/>
    <xf numFmtId="174" fontId="16" fillId="0" borderId="0" xfId="0" applyNumberFormat="1" applyFont="1"/>
    <xf numFmtId="9" fontId="17" fillId="0" borderId="6" xfId="0" applyNumberFormat="1" applyFont="1" applyBorder="1"/>
    <xf numFmtId="0" fontId="12" fillId="5" borderId="3" xfId="0" applyFont="1" applyFill="1" applyBorder="1"/>
    <xf numFmtId="164" fontId="16" fillId="0" borderId="0" xfId="0" applyNumberFormat="1" applyFont="1"/>
    <xf numFmtId="164" fontId="16" fillId="0" borderId="2" xfId="0" applyNumberFormat="1" applyFont="1" applyBorder="1"/>
    <xf numFmtId="164" fontId="16" fillId="0" borderId="0" xfId="0" applyNumberFormat="1" applyFont="1" applyAlignment="1">
      <alignment horizontal="left"/>
    </xf>
    <xf numFmtId="168" fontId="7" fillId="0" borderId="0" xfId="0" applyNumberFormat="1" applyFont="1"/>
    <xf numFmtId="0" fontId="7" fillId="0" borderId="0" xfId="0" applyFont="1" applyAlignment="1">
      <alignment horizontal="left"/>
    </xf>
    <xf numFmtId="168" fontId="7" fillId="4" borderId="0" xfId="0" applyNumberFormat="1" applyFont="1" applyFill="1"/>
    <xf numFmtId="0" fontId="12" fillId="6" borderId="0" xfId="0" applyFont="1" applyFill="1"/>
    <xf numFmtId="168" fontId="12" fillId="0" borderId="0" xfId="0" applyNumberFormat="1" applyFont="1"/>
    <xf numFmtId="0" fontId="7" fillId="0" borderId="0" xfId="0" applyFont="1" applyAlignment="1">
      <alignment horizontal="left" indent="1"/>
    </xf>
    <xf numFmtId="168" fontId="14" fillId="0" borderId="0" xfId="0" applyNumberFormat="1" applyFont="1"/>
    <xf numFmtId="168" fontId="13" fillId="0" borderId="0" xfId="0" applyNumberFormat="1" applyFont="1"/>
    <xf numFmtId="173" fontId="10" fillId="4" borderId="0" xfId="0" applyNumberFormat="1" applyFont="1" applyFill="1"/>
    <xf numFmtId="173" fontId="10" fillId="0" borderId="0" xfId="0" applyNumberFormat="1" applyFont="1"/>
    <xf numFmtId="170" fontId="10" fillId="0" borderId="0" xfId="0" applyNumberFormat="1" applyFont="1"/>
    <xf numFmtId="170" fontId="4" fillId="0" borderId="0" xfId="0" applyNumberFormat="1" applyFont="1"/>
    <xf numFmtId="171" fontId="10" fillId="0" borderId="0" xfId="0" applyNumberFormat="1" applyFont="1"/>
    <xf numFmtId="173" fontId="7" fillId="0" borderId="0" xfId="0" applyNumberFormat="1" applyFont="1"/>
    <xf numFmtId="0" fontId="12" fillId="5" borderId="0" xfId="0" applyFont="1" applyFill="1"/>
    <xf numFmtId="173" fontId="7" fillId="0" borderId="0" xfId="0" applyNumberFormat="1" applyFont="1" applyAlignment="1">
      <alignment horizontal="center"/>
    </xf>
    <xf numFmtId="168" fontId="18" fillId="0" borderId="0" xfId="0" applyNumberFormat="1" applyFont="1"/>
    <xf numFmtId="169" fontId="7" fillId="0" borderId="0" xfId="0" applyNumberFormat="1" applyFont="1"/>
    <xf numFmtId="176" fontId="4" fillId="0" borderId="0" xfId="0" applyNumberFormat="1" applyFont="1"/>
    <xf numFmtId="168" fontId="17" fillId="0" borderId="0" xfId="0" applyNumberFormat="1" applyFont="1"/>
    <xf numFmtId="169" fontId="5" fillId="0" borderId="0" xfId="0" applyNumberFormat="1" applyFont="1"/>
    <xf numFmtId="0" fontId="19" fillId="0" borderId="0" xfId="0" applyFont="1"/>
    <xf numFmtId="0" fontId="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8"/>
        </patternFill>
      </fill>
      <border diagonalUp="0" diagonalDown="0">
        <left/>
        <right/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56082"/>
      <rgbColor rgb="FFC9BDB4"/>
      <rgbColor rgb="FF8B8B8B"/>
      <rgbColor rgb="FF9999FF"/>
      <rgbColor rgb="FFA02B93"/>
      <rgbColor rgb="FFF7F3EE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B5A56"/>
      <rgbColor rgb="FFC4A486"/>
      <rgbColor rgb="FF003366"/>
      <rgbColor rgb="FF339966"/>
      <rgbColor rgb="FF003300"/>
      <rgbColor rgb="FF333300"/>
      <rgbColor rgb="FF993300"/>
      <rgbColor rgb="FF993366"/>
      <rgbColor rgb="FF595959"/>
      <rgbColor rgb="FF4933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AB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9332B"/>
  </sheetPr>
  <dimension ref="C1:P82"/>
  <sheetViews>
    <sheetView showGridLines="0" topLeftCell="A86" zoomScale="47" zoomScaleNormal="105" workbookViewId="0">
      <selection activeCell="K41" sqref="K41"/>
    </sheetView>
  </sheetViews>
  <sheetFormatPr defaultColWidth="8.54296875" defaultRowHeight="14.5" x14ac:dyDescent="0.35"/>
  <cols>
    <col min="1" max="2" width="1.81640625" customWidth="1"/>
    <col min="3" max="3" width="43.54296875" customWidth="1"/>
    <col min="4" max="4" width="9.90625" customWidth="1"/>
    <col min="7" max="11" width="11.08984375" customWidth="1"/>
    <col min="12" max="13" width="2" bestFit="1" customWidth="1"/>
    <col min="19" max="19" width="10.1796875" customWidth="1"/>
  </cols>
  <sheetData>
    <row r="1" spans="3:11" ht="15" customHeight="1" x14ac:dyDescent="0.35"/>
    <row r="2" spans="3:11" ht="15" customHeight="1" x14ac:dyDescent="0.45">
      <c r="C2" s="1" t="str">
        <f>"Financial Statement Model for "&amp;D5</f>
        <v>Financial Statement Model for X</v>
      </c>
      <c r="D2" s="2"/>
      <c r="E2" s="2"/>
      <c r="F2" s="2"/>
      <c r="G2" s="3"/>
      <c r="H2" s="3"/>
      <c r="I2" s="3"/>
      <c r="J2" s="3"/>
      <c r="K2" s="4" t="s">
        <v>0</v>
      </c>
    </row>
    <row r="3" spans="3:11" x14ac:dyDescent="0.35">
      <c r="C3" s="77" t="s">
        <v>1</v>
      </c>
      <c r="D3" s="5"/>
      <c r="E3" s="5"/>
      <c r="F3" s="5"/>
    </row>
    <row r="5" spans="3:11" x14ac:dyDescent="0.35">
      <c r="C5" s="6" t="s">
        <v>2</v>
      </c>
      <c r="D5" s="7" t="s">
        <v>3</v>
      </c>
    </row>
    <row r="6" spans="3:11" x14ac:dyDescent="0.35">
      <c r="C6" s="6" t="s">
        <v>4</v>
      </c>
      <c r="D6" s="8">
        <v>46273</v>
      </c>
    </row>
    <row r="7" spans="3:11" x14ac:dyDescent="0.35">
      <c r="K7" s="9"/>
    </row>
    <row r="8" spans="3:11" x14ac:dyDescent="0.35">
      <c r="C8" s="74" t="s">
        <v>5</v>
      </c>
      <c r="D8" s="74"/>
      <c r="E8" s="74"/>
      <c r="F8" s="74"/>
      <c r="G8" s="74"/>
      <c r="H8" s="74"/>
      <c r="I8" s="74"/>
      <c r="J8" s="74"/>
      <c r="K8" s="74"/>
    </row>
    <row r="9" spans="3:11" x14ac:dyDescent="0.35">
      <c r="C9" s="18" t="s">
        <v>6</v>
      </c>
      <c r="D9" s="65">
        <f>E9-1</f>
        <v>2024</v>
      </c>
      <c r="E9" s="65">
        <f>F9-1</f>
        <v>2025</v>
      </c>
      <c r="F9" s="65">
        <f>YEAR(D6)</f>
        <v>2026</v>
      </c>
      <c r="G9" s="66">
        <f>F9+1</f>
        <v>2027</v>
      </c>
      <c r="H9" s="66">
        <f>G9+1</f>
        <v>2028</v>
      </c>
      <c r="I9" s="66">
        <f>H9+1</f>
        <v>2029</v>
      </c>
      <c r="J9" s="66">
        <f>I9+1</f>
        <v>2030</v>
      </c>
      <c r="K9" s="66">
        <f>J9+1</f>
        <v>2031</v>
      </c>
    </row>
    <row r="10" spans="3:11" x14ac:dyDescent="0.35">
      <c r="C10" s="67" t="s">
        <v>7</v>
      </c>
      <c r="D10" s="68">
        <f>EOMONTH(E10,-12)</f>
        <v>45565</v>
      </c>
      <c r="E10" s="68">
        <f>EOMONTH(F10,-12)</f>
        <v>45930</v>
      </c>
      <c r="F10" s="68">
        <f>D6</f>
        <v>46273</v>
      </c>
      <c r="G10" s="68">
        <f>EOMONTH(F10,12)</f>
        <v>46660</v>
      </c>
      <c r="H10" s="68">
        <f>EOMONTH(G10,12)</f>
        <v>47026</v>
      </c>
      <c r="I10" s="68">
        <f>EOMONTH(H10,12)</f>
        <v>47391</v>
      </c>
      <c r="J10" s="68">
        <f>EOMONTH(I10,12)</f>
        <v>47756</v>
      </c>
      <c r="K10" s="68">
        <f>EOMONTH(J10,12)</f>
        <v>48121</v>
      </c>
    </row>
    <row r="11" spans="3:11" x14ac:dyDescent="0.35">
      <c r="C11" s="10"/>
      <c r="D11" s="11"/>
      <c r="E11" s="12"/>
      <c r="F11" s="12"/>
    </row>
    <row r="12" spans="3:11" x14ac:dyDescent="0.35">
      <c r="C12" s="6" t="s">
        <v>8</v>
      </c>
      <c r="D12" s="13">
        <v>118000</v>
      </c>
      <c r="E12" s="13">
        <f>145500</f>
        <v>145500</v>
      </c>
      <c r="F12" s="13">
        <v>185210</v>
      </c>
      <c r="G12" s="14">
        <f>Scenario!F10</f>
        <v>226706</v>
      </c>
      <c r="H12" s="14">
        <f>Scenario!G10</f>
        <v>277594.73799999995</v>
      </c>
      <c r="I12" s="14">
        <f>Scenario!H10</f>
        <v>340023.07069999992</v>
      </c>
      <c r="J12" s="14">
        <f>Scenario!I10</f>
        <v>416633.33484219993</v>
      </c>
      <c r="K12" s="14">
        <f>Scenario!J10</f>
        <v>510678.86487166985</v>
      </c>
    </row>
    <row r="13" spans="3:11" x14ac:dyDescent="0.35">
      <c r="C13" s="6" t="s">
        <v>9</v>
      </c>
      <c r="D13" s="13">
        <f>-(55000+6000+7500)</f>
        <v>-68500</v>
      </c>
      <c r="E13" s="13">
        <f>(62000+6200+8200)*-1</f>
        <v>-76400</v>
      </c>
      <c r="F13" s="13">
        <f>(70000+6500+9000)*-1</f>
        <v>-85500</v>
      </c>
      <c r="G13" s="14">
        <f>Scenario!F13</f>
        <v>-101351.123595506</v>
      </c>
      <c r="H13" s="14">
        <f>Scenario!G13</f>
        <v>-116481.741573034</v>
      </c>
      <c r="I13" s="14">
        <f>Scenario!H13</f>
        <v>-119507.86516853901</v>
      </c>
      <c r="J13" s="14">
        <f>Scenario!I13</f>
        <v>-122533.988764045</v>
      </c>
      <c r="K13" s="14">
        <f>Scenario!J13</f>
        <v>-125560.112359551</v>
      </c>
    </row>
    <row r="14" spans="3:11" x14ac:dyDescent="0.35">
      <c r="C14" s="18" t="s">
        <v>10</v>
      </c>
      <c r="D14" s="78">
        <f>D12+D13</f>
        <v>49500</v>
      </c>
      <c r="E14" s="78">
        <f>E12+E13</f>
        <v>69100</v>
      </c>
      <c r="F14" s="78">
        <f>F12+F13</f>
        <v>99710</v>
      </c>
      <c r="G14" s="62">
        <f t="shared" ref="G14:K14" si="0">G12+G13</f>
        <v>125354.876404494</v>
      </c>
      <c r="H14" s="62">
        <f t="shared" si="0"/>
        <v>161112.99642696595</v>
      </c>
      <c r="I14" s="62">
        <f t="shared" si="0"/>
        <v>220515.20553146093</v>
      </c>
      <c r="J14" s="62">
        <f t="shared" si="0"/>
        <v>294099.34607815492</v>
      </c>
      <c r="K14" s="62">
        <f t="shared" si="0"/>
        <v>385118.75251211884</v>
      </c>
    </row>
    <row r="15" spans="3:11" x14ac:dyDescent="0.35">
      <c r="C15" s="6" t="s">
        <v>12</v>
      </c>
      <c r="D15" s="13">
        <f>(4000)*-1</f>
        <v>-4000</v>
      </c>
      <c r="E15" s="13">
        <f>(5000)*-1</f>
        <v>-5000</v>
      </c>
      <c r="F15" s="13">
        <f>(6000)*-1</f>
        <v>-6000</v>
      </c>
      <c r="G15" s="14">
        <f>Scenario!F12</f>
        <v>-7112.3595505617996</v>
      </c>
      <c r="H15" s="14">
        <f>Scenario!G12</f>
        <v>-8174.15730337079</v>
      </c>
      <c r="I15" s="14">
        <f>Scenario!H12</f>
        <v>-8386.5168539325805</v>
      </c>
      <c r="J15" s="14">
        <f>Scenario!I12</f>
        <v>-8598.87640449438</v>
      </c>
      <c r="K15" s="14">
        <f>Scenario!J12</f>
        <v>-8811.2359550561796</v>
      </c>
    </row>
    <row r="16" spans="3:11" x14ac:dyDescent="0.35">
      <c r="C16" s="6" t="s">
        <v>13</v>
      </c>
      <c r="D16" s="13">
        <f>(3500+24000)*-1</f>
        <v>-27500</v>
      </c>
      <c r="E16" s="13">
        <f>(3500+24500)*-1</f>
        <v>-28000</v>
      </c>
      <c r="F16" s="13">
        <f>(25000+3500)*-1</f>
        <v>-28500</v>
      </c>
      <c r="G16" s="14">
        <f>Scenario!F11</f>
        <v>-33783.707865168501</v>
      </c>
      <c r="H16" s="14">
        <f>Scenario!G11</f>
        <v>-38827.2471910112</v>
      </c>
      <c r="I16" s="14">
        <f>Scenario!H11</f>
        <v>-39835.955056179802</v>
      </c>
      <c r="J16" s="14">
        <f>Scenario!I11</f>
        <v>-40844.662921348303</v>
      </c>
      <c r="K16" s="14">
        <f>Scenario!J11</f>
        <v>-41853.370786516898</v>
      </c>
    </row>
    <row r="17" spans="3:16" x14ac:dyDescent="0.35">
      <c r="C17" s="18" t="s">
        <v>14</v>
      </c>
      <c r="D17" s="78">
        <f t="shared" ref="D17:K17" si="1">D14+D15+D16</f>
        <v>18000</v>
      </c>
      <c r="E17" s="78">
        <f t="shared" si="1"/>
        <v>36100</v>
      </c>
      <c r="F17" s="78">
        <f t="shared" si="1"/>
        <v>65210</v>
      </c>
      <c r="G17" s="62">
        <f t="shared" si="1"/>
        <v>84458.808988763703</v>
      </c>
      <c r="H17" s="62">
        <f t="shared" si="1"/>
        <v>114111.59193258395</v>
      </c>
      <c r="I17" s="62">
        <f t="shared" si="1"/>
        <v>172292.73362134854</v>
      </c>
      <c r="J17" s="62">
        <f t="shared" si="1"/>
        <v>244655.80675231223</v>
      </c>
      <c r="K17" s="62">
        <f t="shared" si="1"/>
        <v>334454.14577054582</v>
      </c>
    </row>
    <row r="18" spans="3:16" x14ac:dyDescent="0.35">
      <c r="C18" s="6" t="s">
        <v>15</v>
      </c>
      <c r="D18" s="13">
        <f>(1200)*-1</f>
        <v>-1200</v>
      </c>
      <c r="E18" s="13">
        <f>(900)*-1</f>
        <v>-900</v>
      </c>
      <c r="F18" s="13">
        <f t="shared" ref="F18" si="2">(400)*-1</f>
        <v>-400</v>
      </c>
      <c r="G18" s="15">
        <f>F18</f>
        <v>-400</v>
      </c>
      <c r="H18" s="15">
        <f t="shared" ref="H18:K18" si="3">G18</f>
        <v>-400</v>
      </c>
      <c r="I18" s="15">
        <f t="shared" si="3"/>
        <v>-400</v>
      </c>
      <c r="J18" s="15">
        <f t="shared" si="3"/>
        <v>-400</v>
      </c>
      <c r="K18" s="15">
        <f t="shared" si="3"/>
        <v>-400</v>
      </c>
      <c r="N18" s="100" t="s">
        <v>105</v>
      </c>
      <c r="O18" s="99"/>
      <c r="P18" s="99"/>
    </row>
    <row r="19" spans="3:16" x14ac:dyDescent="0.35">
      <c r="C19" s="18" t="s">
        <v>16</v>
      </c>
      <c r="D19" s="78">
        <f t="shared" ref="D19:K19" si="4">SUM(D17:D18)</f>
        <v>16800</v>
      </c>
      <c r="E19" s="78">
        <f t="shared" si="4"/>
        <v>35200</v>
      </c>
      <c r="F19" s="78">
        <f t="shared" si="4"/>
        <v>64810</v>
      </c>
      <c r="G19" s="62">
        <f t="shared" si="4"/>
        <v>84058.808988763703</v>
      </c>
      <c r="H19" s="62">
        <f t="shared" si="4"/>
        <v>113711.59193258395</v>
      </c>
      <c r="I19" s="62">
        <f t="shared" si="4"/>
        <v>171892.73362134854</v>
      </c>
      <c r="J19" s="62">
        <f t="shared" si="4"/>
        <v>244255.80675231223</v>
      </c>
      <c r="K19" s="62">
        <f t="shared" si="4"/>
        <v>334054.14577054582</v>
      </c>
    </row>
    <row r="20" spans="3:16" x14ac:dyDescent="0.35">
      <c r="C20" s="6" t="s">
        <v>17</v>
      </c>
      <c r="D20" s="13">
        <v>-1360.8</v>
      </c>
      <c r="E20" s="13">
        <v>-2851.2000000000003</v>
      </c>
      <c r="F20" s="13">
        <v>-4665.6000000000004</v>
      </c>
      <c r="G20" s="15">
        <f>(G19*G31)*-1</f>
        <v>-6051.3004045359658</v>
      </c>
      <c r="H20" s="15">
        <f t="shared" ref="H20:K20" si="5">(H19*H31)*-1</f>
        <v>-8185.9713519621</v>
      </c>
      <c r="I20" s="15">
        <f t="shared" si="5"/>
        <v>-12374.367196169786</v>
      </c>
      <c r="J20" s="15">
        <f t="shared" si="5"/>
        <v>-17583.704551513471</v>
      </c>
      <c r="K20" s="15">
        <f t="shared" si="5"/>
        <v>-24048.187355455309</v>
      </c>
    </row>
    <row r="21" spans="3:16" x14ac:dyDescent="0.35">
      <c r="C21" s="18" t="s">
        <v>11</v>
      </c>
      <c r="D21" s="78">
        <f t="shared" ref="D21:K21" si="6">D19+D20</f>
        <v>15439.2</v>
      </c>
      <c r="E21" s="78">
        <f t="shared" si="6"/>
        <v>32348.799999999999</v>
      </c>
      <c r="F21" s="78">
        <f t="shared" si="6"/>
        <v>60144.4</v>
      </c>
      <c r="G21" s="62">
        <f t="shared" si="6"/>
        <v>78007.508584227733</v>
      </c>
      <c r="H21" s="62">
        <f t="shared" si="6"/>
        <v>105525.62058062185</v>
      </c>
      <c r="I21" s="62">
        <f t="shared" si="6"/>
        <v>159518.36642517874</v>
      </c>
      <c r="J21" s="62">
        <f t="shared" si="6"/>
        <v>226672.10220079875</v>
      </c>
      <c r="K21" s="62">
        <f t="shared" si="6"/>
        <v>310005.95841509051</v>
      </c>
    </row>
    <row r="22" spans="3:16" x14ac:dyDescent="0.35">
      <c r="C22" s="20"/>
    </row>
    <row r="23" spans="3:16" x14ac:dyDescent="0.35">
      <c r="C23" s="21" t="s">
        <v>18</v>
      </c>
      <c r="D23" s="13">
        <v>5000</v>
      </c>
      <c r="E23" s="13">
        <v>4500</v>
      </c>
      <c r="F23" s="13">
        <v>4000</v>
      </c>
      <c r="G23" s="22">
        <f>F23*(1+G27)</f>
        <v>4896.193510069651</v>
      </c>
      <c r="H23" s="22">
        <f>G23*(1+H27)</f>
        <v>5995.2429782409145</v>
      </c>
      <c r="I23" s="22">
        <f>H23*(1+I27)</f>
        <v>7343.5142962043064</v>
      </c>
      <c r="J23" s="22">
        <f>I23*(1+J27)</f>
        <v>8998.0742906365722</v>
      </c>
      <c r="K23" s="22">
        <f>J23*(1+K27)</f>
        <v>11029.185570361638</v>
      </c>
    </row>
    <row r="24" spans="3:16" x14ac:dyDescent="0.35">
      <c r="C24" s="79" t="s">
        <v>19</v>
      </c>
      <c r="D24" s="78">
        <f t="shared" ref="D24:K24" si="7">D17+D23</f>
        <v>23000</v>
      </c>
      <c r="E24" s="78">
        <f t="shared" si="7"/>
        <v>40600</v>
      </c>
      <c r="F24" s="78">
        <f t="shared" si="7"/>
        <v>69210</v>
      </c>
      <c r="G24" s="80">
        <f t="shared" si="7"/>
        <v>89355.002498833361</v>
      </c>
      <c r="H24" s="80">
        <f t="shared" si="7"/>
        <v>120106.83491082487</v>
      </c>
      <c r="I24" s="80">
        <f t="shared" si="7"/>
        <v>179636.24791755286</v>
      </c>
      <c r="J24" s="80">
        <f t="shared" si="7"/>
        <v>253653.88104294881</v>
      </c>
      <c r="K24" s="80">
        <f t="shared" si="7"/>
        <v>345483.33134090743</v>
      </c>
    </row>
    <row r="25" spans="3:16" x14ac:dyDescent="0.35">
      <c r="C25" s="20"/>
    </row>
    <row r="26" spans="3:16" x14ac:dyDescent="0.35">
      <c r="C26" s="18" t="s">
        <v>20</v>
      </c>
    </row>
    <row r="27" spans="3:16" x14ac:dyDescent="0.35">
      <c r="C27" s="23" t="s">
        <v>21</v>
      </c>
      <c r="D27" s="81"/>
      <c r="E27" s="35">
        <f t="shared" ref="E27:K27" si="8">E12/D12-1</f>
        <v>0.23305084745762716</v>
      </c>
      <c r="F27" s="35">
        <f t="shared" si="8"/>
        <v>0.27292096219931272</v>
      </c>
      <c r="G27" s="35">
        <f t="shared" si="8"/>
        <v>0.22404837751741269</v>
      </c>
      <c r="H27" s="35">
        <f t="shared" si="8"/>
        <v>0.22447018605594882</v>
      </c>
      <c r="I27" s="35">
        <f t="shared" si="8"/>
        <v>0.22489018757985235</v>
      </c>
      <c r="J27" s="35">
        <f t="shared" si="8"/>
        <v>0.22530901795717484</v>
      </c>
      <c r="K27" s="35">
        <f t="shared" si="8"/>
        <v>0.22572732943966112</v>
      </c>
    </row>
    <row r="28" spans="3:16" x14ac:dyDescent="0.35">
      <c r="C28" s="23" t="s">
        <v>22</v>
      </c>
      <c r="D28" s="35">
        <f>D14/D12</f>
        <v>0.41949152542372881</v>
      </c>
      <c r="E28" s="35">
        <f>E14/E12</f>
        <v>0.47491408934707902</v>
      </c>
      <c r="F28" s="35">
        <f>F14/F12</f>
        <v>0.5383618595108256</v>
      </c>
      <c r="G28" s="35">
        <f t="shared" ref="G28:K28" si="9">G14/G12</f>
        <v>0.55294026803213858</v>
      </c>
      <c r="H28" s="35">
        <f t="shared" si="9"/>
        <v>0.5803892306739834</v>
      </c>
      <c r="I28" s="35">
        <f t="shared" si="9"/>
        <v>0.64853012790423281</v>
      </c>
      <c r="J28" s="35">
        <f t="shared" si="9"/>
        <v>0.70589489962329877</v>
      </c>
      <c r="K28" s="35">
        <f t="shared" si="9"/>
        <v>0.75413097937565243</v>
      </c>
      <c r="N28" s="100" t="s">
        <v>121</v>
      </c>
    </row>
    <row r="29" spans="3:16" x14ac:dyDescent="0.35">
      <c r="C29" s="23" t="s">
        <v>23</v>
      </c>
      <c r="D29" s="35">
        <f>(D15/D12)*-1</f>
        <v>3.3898305084745763E-2</v>
      </c>
      <c r="E29" s="35">
        <f>(E15/E12)*-1</f>
        <v>3.4364261168384883E-2</v>
      </c>
      <c r="F29" s="35">
        <f>(F15/F12)*-1</f>
        <v>3.2395658981696454E-2</v>
      </c>
      <c r="G29" s="35">
        <f>(G15/G12)*-1</f>
        <v>3.1372612769674381E-2</v>
      </c>
      <c r="H29" s="35">
        <f t="shared" ref="H29:K29" si="10">(H15/H12)*-1</f>
        <v>2.9446369777264263E-2</v>
      </c>
      <c r="I29" s="35">
        <f t="shared" si="10"/>
        <v>2.4664552427773198E-2</v>
      </c>
      <c r="J29" s="35">
        <f t="shared" si="10"/>
        <v>2.0638954412400073E-2</v>
      </c>
      <c r="K29" s="35">
        <f t="shared" si="10"/>
        <v>1.7253966359603277E-2</v>
      </c>
      <c r="N29" s="100" t="s">
        <v>120</v>
      </c>
    </row>
    <row r="30" spans="3:16" x14ac:dyDescent="0.35">
      <c r="C30" s="23" t="s">
        <v>24</v>
      </c>
      <c r="D30" s="35">
        <f>(D16/D12)*-1</f>
        <v>0.23305084745762711</v>
      </c>
      <c r="E30" s="35">
        <f>(E16/E12)*-1</f>
        <v>0.19243986254295534</v>
      </c>
      <c r="F30" s="35">
        <f>(F16/F12)*-1</f>
        <v>0.15387938016305816</v>
      </c>
      <c r="G30" s="35">
        <f t="shared" ref="G30:K30" si="11">(G16/G12)*-1</f>
        <v>0.14901991065595308</v>
      </c>
      <c r="H30" s="35">
        <f t="shared" si="11"/>
        <v>0.13987025644200507</v>
      </c>
      <c r="I30" s="35">
        <f t="shared" si="11"/>
        <v>0.11715662403192281</v>
      </c>
      <c r="J30" s="35">
        <f t="shared" si="11"/>
        <v>9.8035033458900356E-2</v>
      </c>
      <c r="K30" s="35">
        <f t="shared" si="11"/>
        <v>8.1956340208115652E-2</v>
      </c>
      <c r="N30" s="100" t="s">
        <v>119</v>
      </c>
    </row>
    <row r="31" spans="3:16" x14ac:dyDescent="0.35">
      <c r="C31" s="23" t="s">
        <v>25</v>
      </c>
      <c r="D31" s="35">
        <f>-1*D20/D19</f>
        <v>8.1000000000000003E-2</v>
      </c>
      <c r="E31" s="35">
        <f t="shared" ref="E31:F31" si="12">-1*E20/E19</f>
        <v>8.1000000000000003E-2</v>
      </c>
      <c r="F31" s="35">
        <f t="shared" si="12"/>
        <v>7.1988890603301964E-2</v>
      </c>
      <c r="G31" s="35">
        <f>F31</f>
        <v>7.1988890603301964E-2</v>
      </c>
      <c r="H31" s="35">
        <f>G31</f>
        <v>7.1988890603301964E-2</v>
      </c>
      <c r="I31" s="35">
        <f>H31</f>
        <v>7.1988890603301964E-2</v>
      </c>
      <c r="J31" s="35">
        <f>I31</f>
        <v>7.1988890603301964E-2</v>
      </c>
      <c r="K31" s="35">
        <f>J31</f>
        <v>7.1988890603301964E-2</v>
      </c>
      <c r="N31" s="100" t="s">
        <v>105</v>
      </c>
    </row>
    <row r="32" spans="3:16" x14ac:dyDescent="0.35">
      <c r="C32" s="20"/>
    </row>
    <row r="33" spans="3:11" x14ac:dyDescent="0.35">
      <c r="C33" s="74" t="s">
        <v>26</v>
      </c>
      <c r="D33" s="74"/>
      <c r="E33" s="74"/>
      <c r="F33" s="74"/>
      <c r="G33" s="74"/>
      <c r="H33" s="74"/>
      <c r="I33" s="74"/>
      <c r="J33" s="74"/>
      <c r="K33" s="74"/>
    </row>
    <row r="34" spans="3:11" x14ac:dyDescent="0.35">
      <c r="C34" s="18" t="str">
        <f>C9</f>
        <v>Fiscal year</v>
      </c>
      <c r="D34" s="65"/>
      <c r="E34" s="65">
        <f t="shared" ref="E34:K35" si="13">E9</f>
        <v>2025</v>
      </c>
      <c r="F34" s="65">
        <f t="shared" si="13"/>
        <v>2026</v>
      </c>
      <c r="G34" s="66">
        <f t="shared" si="13"/>
        <v>2027</v>
      </c>
      <c r="H34" s="66">
        <f t="shared" si="13"/>
        <v>2028</v>
      </c>
      <c r="I34" s="66">
        <f t="shared" si="13"/>
        <v>2029</v>
      </c>
      <c r="J34" s="66">
        <f t="shared" si="13"/>
        <v>2030</v>
      </c>
      <c r="K34" s="66">
        <f t="shared" si="13"/>
        <v>2031</v>
      </c>
    </row>
    <row r="35" spans="3:11" x14ac:dyDescent="0.35">
      <c r="C35" s="67" t="str">
        <f>C10</f>
        <v>Fiscal year end date</v>
      </c>
      <c r="D35" s="68"/>
      <c r="E35" s="68">
        <f t="shared" si="13"/>
        <v>45930</v>
      </c>
      <c r="F35" s="68">
        <f t="shared" si="13"/>
        <v>46273</v>
      </c>
      <c r="G35" s="68">
        <f t="shared" si="13"/>
        <v>46660</v>
      </c>
      <c r="H35" s="68">
        <f t="shared" si="13"/>
        <v>47026</v>
      </c>
      <c r="I35" s="68">
        <f t="shared" si="13"/>
        <v>47391</v>
      </c>
      <c r="J35" s="68">
        <f t="shared" si="13"/>
        <v>47756</v>
      </c>
      <c r="K35" s="68">
        <f t="shared" si="13"/>
        <v>48121</v>
      </c>
    </row>
    <row r="36" spans="3:11" x14ac:dyDescent="0.35">
      <c r="C36" s="6" t="s">
        <v>27</v>
      </c>
      <c r="D36" s="24"/>
      <c r="E36" s="13">
        <v>9200</v>
      </c>
      <c r="F36" s="13">
        <v>14000</v>
      </c>
      <c r="G36" s="22">
        <f>F36+G66</f>
        <v>81938.044913373655</v>
      </c>
      <c r="H36" s="22">
        <f>G36+H66</f>
        <v>175167.13306366492</v>
      </c>
      <c r="I36" s="22">
        <f>H36+I66</f>
        <v>319689.43633151846</v>
      </c>
      <c r="J36" s="22">
        <f>I36+J66</f>
        <v>528054.46638137707</v>
      </c>
      <c r="K36" s="22">
        <f>J36+K66</f>
        <v>815688.24461175059</v>
      </c>
    </row>
    <row r="37" spans="3:11" x14ac:dyDescent="0.35">
      <c r="C37" s="6" t="s">
        <v>28</v>
      </c>
      <c r="D37" s="24"/>
      <c r="E37" s="13">
        <v>600</v>
      </c>
      <c r="F37" s="13">
        <v>900</v>
      </c>
      <c r="G37" s="15">
        <f>F37*(G27+1)</f>
        <v>1101.6435397656714</v>
      </c>
      <c r="H37" s="15">
        <f>G37*(H27+1)</f>
        <v>1348.9296701042058</v>
      </c>
      <c r="I37" s="15">
        <f>H37*(I27+1)</f>
        <v>1652.290716645969</v>
      </c>
      <c r="J37" s="15">
        <f>I37*(J27+1)</f>
        <v>2024.5667153932291</v>
      </c>
      <c r="K37" s="15">
        <f>J37*(K27+1)</f>
        <v>2481.566753331369</v>
      </c>
    </row>
    <row r="38" spans="3:11" x14ac:dyDescent="0.35">
      <c r="C38" s="6" t="s">
        <v>29</v>
      </c>
      <c r="D38" s="24"/>
      <c r="E38" s="13">
        <v>2200</v>
      </c>
      <c r="F38" s="13">
        <v>3000</v>
      </c>
      <c r="G38" s="15">
        <f>F38*(1+G30)</f>
        <v>3447.0597319678595</v>
      </c>
      <c r="H38" s="15">
        <f>G38*(1+H30)</f>
        <v>3929.2008606491136</v>
      </c>
      <c r="I38" s="15">
        <f>H38*(1+I30)</f>
        <v>4389.5327686260898</v>
      </c>
      <c r="J38" s="15">
        <f>I38*(1+J30)</f>
        <v>4819.8607604672879</v>
      </c>
      <c r="K38" s="15">
        <f>J38*(1+K30)</f>
        <v>5214.8789087078922</v>
      </c>
    </row>
    <row r="39" spans="3:11" x14ac:dyDescent="0.35">
      <c r="C39" s="6" t="s">
        <v>30</v>
      </c>
      <c r="D39" s="24"/>
      <c r="E39" s="13">
        <f>9000+7500+1000</f>
        <v>17500</v>
      </c>
      <c r="F39" s="13">
        <f>9500+8000+7500+800</f>
        <v>25800</v>
      </c>
      <c r="G39" s="15">
        <f>G75</f>
        <v>35959.601533394525</v>
      </c>
      <c r="H39" s="15">
        <f>H75</f>
        <v>48399.730713244418</v>
      </c>
      <c r="I39" s="15">
        <f>I75</f>
        <v>63637.522877868352</v>
      </c>
      <c r="J39" s="15">
        <f>J75</f>
        <v>82308.527030939236</v>
      </c>
      <c r="K39" s="15">
        <f>K75</f>
        <v>105194.08708943962</v>
      </c>
    </row>
    <row r="40" spans="3:11" x14ac:dyDescent="0.35">
      <c r="C40" s="79" t="s">
        <v>31</v>
      </c>
      <c r="D40" s="29"/>
      <c r="E40" s="78">
        <f t="shared" ref="E40:K40" si="14">SUM(E36:E39)</f>
        <v>29500</v>
      </c>
      <c r="F40" s="78">
        <f t="shared" si="14"/>
        <v>43700</v>
      </c>
      <c r="G40" s="80">
        <f t="shared" si="14"/>
        <v>122446.34971850172</v>
      </c>
      <c r="H40" s="80">
        <f t="shared" si="14"/>
        <v>228844.99430766265</v>
      </c>
      <c r="I40" s="80">
        <f t="shared" si="14"/>
        <v>389368.78269465885</v>
      </c>
      <c r="J40" s="80">
        <f t="shared" si="14"/>
        <v>617207.42088817677</v>
      </c>
      <c r="K40" s="80">
        <f t="shared" si="14"/>
        <v>928578.77736322943</v>
      </c>
    </row>
    <row r="41" spans="3:11" x14ac:dyDescent="0.35">
      <c r="C41" s="25"/>
      <c r="D41" s="26"/>
      <c r="I41" s="27"/>
      <c r="J41" s="27"/>
    </row>
    <row r="42" spans="3:11" x14ac:dyDescent="0.35">
      <c r="C42" s="21" t="s">
        <v>32</v>
      </c>
      <c r="D42" s="24"/>
      <c r="E42" s="13">
        <v>1300</v>
      </c>
      <c r="F42" s="13">
        <v>1500</v>
      </c>
      <c r="G42" s="15">
        <f>F42*(1+G30)</f>
        <v>1723.5298659839298</v>
      </c>
      <c r="H42" s="15">
        <f>G42*(1+H30)</f>
        <v>1964.6004303245568</v>
      </c>
      <c r="I42" s="15">
        <f>H42*(1+I30)</f>
        <v>2194.7663843130449</v>
      </c>
      <c r="J42" s="15">
        <f>I42*(1+J30)</f>
        <v>2409.930380233644</v>
      </c>
      <c r="K42" s="15">
        <f>J42*(1+K30)</f>
        <v>2607.4394543539461</v>
      </c>
    </row>
    <row r="43" spans="3:11" x14ac:dyDescent="0.35">
      <c r="C43" s="21" t="s">
        <v>33</v>
      </c>
      <c r="D43" s="24"/>
      <c r="E43" s="13">
        <f>1900</f>
        <v>1900</v>
      </c>
      <c r="F43" s="13">
        <v>2300</v>
      </c>
      <c r="G43" s="15">
        <f>F43*(G27+1)</f>
        <v>2815.3112682900492</v>
      </c>
      <c r="H43" s="15">
        <f>G43*(H27+1)</f>
        <v>3447.2647124885257</v>
      </c>
      <c r="I43" s="15">
        <f>H43*(I27+1)</f>
        <v>4222.5207203174759</v>
      </c>
      <c r="J43" s="15">
        <f>I43*(J27+1)</f>
        <v>5173.8927171160285</v>
      </c>
      <c r="K43" s="15">
        <f>J43*(K27+1)</f>
        <v>6341.7817029579419</v>
      </c>
    </row>
    <row r="44" spans="3:11" x14ac:dyDescent="0.35">
      <c r="C44" s="21" t="s">
        <v>34</v>
      </c>
      <c r="D44" s="24"/>
      <c r="E44" s="13">
        <v>8000</v>
      </c>
      <c r="F44" s="13">
        <v>3000</v>
      </c>
      <c r="G44" s="15">
        <f>F44</f>
        <v>3000</v>
      </c>
      <c r="H44" s="15">
        <f t="shared" ref="H44:K44" si="15">G44</f>
        <v>3000</v>
      </c>
      <c r="I44" s="15">
        <f t="shared" si="15"/>
        <v>3000</v>
      </c>
      <c r="J44" s="15">
        <f t="shared" si="15"/>
        <v>3000</v>
      </c>
      <c r="K44" s="15">
        <f t="shared" si="15"/>
        <v>3000</v>
      </c>
    </row>
    <row r="45" spans="3:11" x14ac:dyDescent="0.35">
      <c r="C45" s="79" t="s">
        <v>35</v>
      </c>
      <c r="D45" s="29"/>
      <c r="E45" s="78">
        <f t="shared" ref="E45:K45" si="16">SUM(E42:E44)</f>
        <v>11200</v>
      </c>
      <c r="F45" s="78">
        <f t="shared" si="16"/>
        <v>6800</v>
      </c>
      <c r="G45" s="80">
        <f t="shared" si="16"/>
        <v>7538.8411342739792</v>
      </c>
      <c r="H45" s="80">
        <f t="shared" si="16"/>
        <v>8411.8651428130834</v>
      </c>
      <c r="I45" s="80">
        <f t="shared" si="16"/>
        <v>9417.2871046305208</v>
      </c>
      <c r="J45" s="80">
        <f t="shared" si="16"/>
        <v>10583.823097349672</v>
      </c>
      <c r="K45" s="80">
        <f t="shared" si="16"/>
        <v>11949.221157311888</v>
      </c>
    </row>
    <row r="46" spans="3:11" x14ac:dyDescent="0.35">
      <c r="C46" s="28"/>
      <c r="D46" s="29"/>
      <c r="I46" s="27"/>
      <c r="J46" s="27"/>
    </row>
    <row r="47" spans="3:11" x14ac:dyDescent="0.35">
      <c r="C47" s="21" t="s">
        <v>36</v>
      </c>
      <c r="E47" s="30">
        <v>15000</v>
      </c>
      <c r="F47" s="30">
        <f>15000</f>
        <v>15000</v>
      </c>
      <c r="G47" s="31">
        <f t="shared" ref="G47:K47" si="17">F47</f>
        <v>15000</v>
      </c>
      <c r="H47" s="31">
        <f t="shared" si="17"/>
        <v>15000</v>
      </c>
      <c r="I47" s="31">
        <f t="shared" si="17"/>
        <v>15000</v>
      </c>
      <c r="J47" s="31">
        <f t="shared" si="17"/>
        <v>15000</v>
      </c>
      <c r="K47" s="31">
        <f t="shared" si="17"/>
        <v>15000</v>
      </c>
    </row>
    <row r="48" spans="3:11" x14ac:dyDescent="0.35">
      <c r="C48" s="21" t="s">
        <v>37</v>
      </c>
      <c r="D48" s="29"/>
      <c r="E48" s="13">
        <v>3300</v>
      </c>
      <c r="F48" s="13">
        <f>21900</f>
        <v>21900</v>
      </c>
      <c r="G48" s="22">
        <f>G80</f>
        <v>99907.508584227733</v>
      </c>
      <c r="H48" s="22">
        <f>H80</f>
        <v>205433.12916484958</v>
      </c>
      <c r="I48" s="22">
        <f>I80</f>
        <v>364951.49559002835</v>
      </c>
      <c r="J48" s="22">
        <f>J80</f>
        <v>591623.59779082704</v>
      </c>
      <c r="K48" s="22">
        <f>K80</f>
        <v>901629.55620591762</v>
      </c>
    </row>
    <row r="49" spans="3:11" x14ac:dyDescent="0.35">
      <c r="C49" s="79" t="s">
        <v>38</v>
      </c>
      <c r="D49" s="82"/>
      <c r="E49" s="78">
        <f t="shared" ref="E49:K49" si="18">SUM(E47:E48)</f>
        <v>18300</v>
      </c>
      <c r="F49" s="78">
        <f t="shared" si="18"/>
        <v>36900</v>
      </c>
      <c r="G49" s="80">
        <f t="shared" si="18"/>
        <v>114907.50858422773</v>
      </c>
      <c r="H49" s="80">
        <f t="shared" si="18"/>
        <v>220433.12916484958</v>
      </c>
      <c r="I49" s="80">
        <f t="shared" si="18"/>
        <v>379951.49559002835</v>
      </c>
      <c r="J49" s="80">
        <f t="shared" si="18"/>
        <v>606623.59779082704</v>
      </c>
      <c r="K49" s="80">
        <f t="shared" si="18"/>
        <v>916629.55620591762</v>
      </c>
    </row>
    <row r="50" spans="3:11" x14ac:dyDescent="0.35">
      <c r="D50" s="26"/>
      <c r="E50" s="26"/>
      <c r="F50" s="26"/>
    </row>
    <row r="51" spans="3:11" x14ac:dyDescent="0.35">
      <c r="C51" s="6" t="s">
        <v>39</v>
      </c>
      <c r="D51" s="32"/>
      <c r="E51" s="19">
        <f t="shared" ref="E51:K51" si="19">ROUND(E40-E45-E49,3)</f>
        <v>0</v>
      </c>
      <c r="F51" s="19">
        <f t="shared" si="19"/>
        <v>0</v>
      </c>
      <c r="G51" s="19">
        <f t="shared" si="19"/>
        <v>0</v>
      </c>
      <c r="H51" s="19">
        <f t="shared" si="19"/>
        <v>0</v>
      </c>
      <c r="I51" s="19">
        <f t="shared" si="19"/>
        <v>0</v>
      </c>
      <c r="J51" s="19">
        <f t="shared" si="19"/>
        <v>0</v>
      </c>
      <c r="K51" s="19">
        <f t="shared" si="19"/>
        <v>0</v>
      </c>
    </row>
    <row r="53" spans="3:11" x14ac:dyDescent="0.35">
      <c r="C53" s="74" t="s">
        <v>40</v>
      </c>
      <c r="D53" s="74"/>
      <c r="E53" s="74"/>
      <c r="F53" s="74"/>
      <c r="G53" s="74"/>
      <c r="H53" s="74"/>
      <c r="I53" s="74"/>
      <c r="J53" s="74"/>
      <c r="K53" s="74"/>
    </row>
    <row r="54" spans="3:11" x14ac:dyDescent="0.35">
      <c r="C54" s="18" t="str">
        <f>C10</f>
        <v>Fiscal year end date</v>
      </c>
      <c r="D54" s="65"/>
      <c r="E54" s="65"/>
      <c r="F54" s="65"/>
      <c r="G54" s="66">
        <f>G9</f>
        <v>2027</v>
      </c>
      <c r="H54" s="66">
        <f>H9</f>
        <v>2028</v>
      </c>
      <c r="I54" s="66">
        <f>I9</f>
        <v>2029</v>
      </c>
      <c r="J54" s="66">
        <f>J9</f>
        <v>2030</v>
      </c>
      <c r="K54" s="66">
        <f>K9</f>
        <v>2031</v>
      </c>
    </row>
    <row r="55" spans="3:11" x14ac:dyDescent="0.35">
      <c r="C55" s="67" t="s">
        <v>7</v>
      </c>
      <c r="D55" s="68"/>
      <c r="E55" s="68"/>
      <c r="F55" s="68"/>
      <c r="G55" s="68">
        <f>G35</f>
        <v>46660</v>
      </c>
      <c r="H55" s="68">
        <f>H35</f>
        <v>47026</v>
      </c>
      <c r="I55" s="68">
        <f>I35</f>
        <v>47391</v>
      </c>
      <c r="J55" s="68">
        <f>J35</f>
        <v>47756</v>
      </c>
      <c r="K55" s="68">
        <f>K35</f>
        <v>48121</v>
      </c>
    </row>
    <row r="57" spans="3:11" x14ac:dyDescent="0.35">
      <c r="C57" s="6" t="s">
        <v>11</v>
      </c>
      <c r="D57" s="27"/>
      <c r="E57" s="27"/>
      <c r="F57" s="27"/>
      <c r="G57" s="22">
        <f>G21</f>
        <v>78007.508584227733</v>
      </c>
      <c r="H57" s="22">
        <f>H21</f>
        <v>105525.62058062185</v>
      </c>
      <c r="I57" s="22">
        <f>I21</f>
        <v>159518.36642517874</v>
      </c>
      <c r="J57" s="22">
        <f>J21</f>
        <v>226672.10220079875</v>
      </c>
      <c r="K57" s="22">
        <f>K21</f>
        <v>310005.95841509051</v>
      </c>
    </row>
    <row r="58" spans="3:11" x14ac:dyDescent="0.35">
      <c r="C58" s="6" t="s">
        <v>41</v>
      </c>
      <c r="D58" s="27"/>
      <c r="E58" s="27"/>
      <c r="F58" s="27"/>
      <c r="G58" s="22">
        <f>(G23)</f>
        <v>4896.193510069651</v>
      </c>
      <c r="H58" s="22">
        <f>(H23)</f>
        <v>5995.2429782409145</v>
      </c>
      <c r="I58" s="22">
        <f>(I23)</f>
        <v>7343.5142962043064</v>
      </c>
      <c r="J58" s="22">
        <f>(J23)</f>
        <v>8998.0742906365722</v>
      </c>
      <c r="K58" s="22">
        <f>(K23)</f>
        <v>11029.185570361638</v>
      </c>
    </row>
    <row r="59" spans="3:11" x14ac:dyDescent="0.35">
      <c r="C59" s="6" t="s">
        <v>42</v>
      </c>
      <c r="D59" s="26"/>
      <c r="E59" s="26"/>
      <c r="F59" s="26"/>
      <c r="G59" s="15">
        <f>(SUM(G37:G38)-SUM(F37:F38))*-1</f>
        <v>-648.70327173353144</v>
      </c>
      <c r="H59" s="15">
        <f>(SUM(H37:H38)-SUM(G37:G38))*-1</f>
        <v>-729.42725901978793</v>
      </c>
      <c r="I59" s="15">
        <f>(SUM(I37:I38)-SUM(H37:H38))*-1</f>
        <v>-763.6929545187395</v>
      </c>
      <c r="J59" s="15">
        <f>(SUM(J37:J38)-SUM(I37:I38))*-1</f>
        <v>-802.60399058845815</v>
      </c>
      <c r="K59" s="15">
        <f>(SUM(K37:K38)-SUM(J37:J38))*-1</f>
        <v>-852.01818617874414</v>
      </c>
    </row>
    <row r="60" spans="3:11" x14ac:dyDescent="0.35">
      <c r="C60" s="6" t="s">
        <v>43</v>
      </c>
      <c r="D60" s="26"/>
      <c r="E60" s="26"/>
      <c r="F60" s="26"/>
      <c r="G60" s="22">
        <f>SUM(G42:G44)-SUM(F42:F44)</f>
        <v>738.84113427397915</v>
      </c>
      <c r="H60" s="22">
        <f>SUM(H42:H44)-SUM(G42:G44)</f>
        <v>873.02400853910422</v>
      </c>
      <c r="I60" s="22">
        <f>SUM(I42:I44)-SUM(H42:H44)</f>
        <v>1005.4219618174375</v>
      </c>
      <c r="J60" s="22">
        <f>SUM(J42:J44)-SUM(I42:I44)</f>
        <v>1166.5359927191512</v>
      </c>
      <c r="K60" s="22">
        <f>SUM(K42:K44)-SUM(J42:J44)</f>
        <v>1365.3980599622155</v>
      </c>
    </row>
    <row r="61" spans="3:11" x14ac:dyDescent="0.35">
      <c r="C61" s="18" t="s">
        <v>44</v>
      </c>
      <c r="G61" s="80">
        <f>SUM(G57:G60)</f>
        <v>82993.839956837837</v>
      </c>
      <c r="H61" s="80">
        <f>SUM(H57:H60)</f>
        <v>111664.46030838207</v>
      </c>
      <c r="I61" s="80">
        <f>SUM(I57:I60)</f>
        <v>167103.60972868174</v>
      </c>
      <c r="J61" s="80">
        <f>SUM(J57:J60)</f>
        <v>236034.10849356602</v>
      </c>
      <c r="K61" s="80">
        <f>SUM(K57:K60)</f>
        <v>321548.52385923557</v>
      </c>
    </row>
    <row r="62" spans="3:11" x14ac:dyDescent="0.35">
      <c r="G62" s="26"/>
      <c r="H62" s="26"/>
      <c r="I62" s="26"/>
      <c r="J62" s="26"/>
      <c r="K62" s="26"/>
    </row>
    <row r="63" spans="3:11" x14ac:dyDescent="0.35">
      <c r="C63" s="6" t="s">
        <v>45</v>
      </c>
      <c r="G63" s="15">
        <f>G73*-1</f>
        <v>-15055.795043464175</v>
      </c>
      <c r="H63" s="15">
        <f>H73*-1</f>
        <v>-18435.37215809081</v>
      </c>
      <c r="I63" s="15">
        <f>I73*-1</f>
        <v>-22581.30646082824</v>
      </c>
      <c r="J63" s="15">
        <f>J73*-1</f>
        <v>-27669.078443707458</v>
      </c>
      <c r="K63" s="15">
        <f>K73*-1</f>
        <v>-33914.745628862038</v>
      </c>
    </row>
    <row r="64" spans="3:11" x14ac:dyDescent="0.35">
      <c r="C64" s="18" t="s">
        <v>46</v>
      </c>
      <c r="G64" s="80">
        <f>IFERROR(G63,"NA")</f>
        <v>-15055.795043464175</v>
      </c>
      <c r="H64" s="80">
        <f>IFERROR(H63,"NA")</f>
        <v>-18435.37215809081</v>
      </c>
      <c r="I64" s="80">
        <f>IFERROR(I63,"NA")</f>
        <v>-22581.30646082824</v>
      </c>
      <c r="J64" s="80">
        <f>IFERROR(J63,"NA")</f>
        <v>-27669.078443707458</v>
      </c>
      <c r="K64" s="80">
        <f>IFERROR(K63,"NA")</f>
        <v>-33914.745628862038</v>
      </c>
    </row>
    <row r="65" spans="3:11" x14ac:dyDescent="0.35">
      <c r="G65" s="26"/>
      <c r="H65" s="26"/>
      <c r="I65" s="26"/>
      <c r="J65" s="26"/>
      <c r="K65" s="26"/>
    </row>
    <row r="66" spans="3:11" x14ac:dyDescent="0.35">
      <c r="C66" s="18" t="s">
        <v>47</v>
      </c>
      <c r="G66" s="80">
        <f>G61+G64</f>
        <v>67938.044913373655</v>
      </c>
      <c r="H66" s="80">
        <f>H61+H64</f>
        <v>93229.088150291267</v>
      </c>
      <c r="I66" s="80">
        <f>I61+I64</f>
        <v>144522.30326785351</v>
      </c>
      <c r="J66" s="80">
        <f>J61+J64</f>
        <v>208365.03004985856</v>
      </c>
      <c r="K66" s="80">
        <f>K61+K64</f>
        <v>287633.77823037351</v>
      </c>
    </row>
    <row r="68" spans="3:11" x14ac:dyDescent="0.35">
      <c r="C68" s="74" t="s">
        <v>48</v>
      </c>
      <c r="D68" s="74"/>
      <c r="E68" s="74"/>
      <c r="F68" s="74"/>
      <c r="G68" s="74"/>
      <c r="H68" s="74"/>
      <c r="I68" s="74"/>
      <c r="J68" s="74"/>
      <c r="K68" s="74"/>
    </row>
    <row r="69" spans="3:11" x14ac:dyDescent="0.35">
      <c r="C69" s="18" t="s">
        <v>6</v>
      </c>
      <c r="D69" s="65">
        <f t="shared" ref="D69:K70" si="20">D9</f>
        <v>2024</v>
      </c>
      <c r="E69" s="65">
        <f t="shared" si="20"/>
        <v>2025</v>
      </c>
      <c r="F69" s="65">
        <f t="shared" si="20"/>
        <v>2026</v>
      </c>
      <c r="G69" s="66">
        <f t="shared" si="20"/>
        <v>2027</v>
      </c>
      <c r="H69" s="66">
        <f t="shared" si="20"/>
        <v>2028</v>
      </c>
      <c r="I69" s="66">
        <f t="shared" si="20"/>
        <v>2029</v>
      </c>
      <c r="J69" s="66">
        <f t="shared" si="20"/>
        <v>2030</v>
      </c>
      <c r="K69" s="66">
        <f t="shared" si="20"/>
        <v>2031</v>
      </c>
    </row>
    <row r="70" spans="3:11" x14ac:dyDescent="0.35">
      <c r="C70" s="67" t="s">
        <v>7</v>
      </c>
      <c r="D70" s="68">
        <f t="shared" si="20"/>
        <v>45565</v>
      </c>
      <c r="E70" s="68">
        <f t="shared" si="20"/>
        <v>45930</v>
      </c>
      <c r="F70" s="68">
        <f t="shared" si="20"/>
        <v>46273</v>
      </c>
      <c r="G70" s="68">
        <f t="shared" si="20"/>
        <v>46660</v>
      </c>
      <c r="H70" s="68">
        <f t="shared" si="20"/>
        <v>47026</v>
      </c>
      <c r="I70" s="68">
        <f t="shared" si="20"/>
        <v>47391</v>
      </c>
      <c r="J70" s="68">
        <f t="shared" si="20"/>
        <v>47756</v>
      </c>
      <c r="K70" s="68">
        <f t="shared" si="20"/>
        <v>48121</v>
      </c>
    </row>
    <row r="71" spans="3:11" x14ac:dyDescent="0.35">
      <c r="C71" s="33"/>
      <c r="G71" s="102"/>
      <c r="H71" s="102"/>
      <c r="I71" s="102"/>
      <c r="J71" s="102"/>
      <c r="K71" s="102"/>
    </row>
    <row r="72" spans="3:11" x14ac:dyDescent="0.35">
      <c r="C72" s="21" t="s">
        <v>49</v>
      </c>
      <c r="F72" s="19">
        <f>E39</f>
        <v>17500</v>
      </c>
      <c r="G72" s="22">
        <f>F75</f>
        <v>25800</v>
      </c>
      <c r="H72" s="22">
        <f>G75</f>
        <v>35959.601533394525</v>
      </c>
      <c r="I72" s="22">
        <f>H75</f>
        <v>48399.730713244418</v>
      </c>
      <c r="J72" s="22">
        <f>I75</f>
        <v>63637.522877868352</v>
      </c>
      <c r="K72" s="22">
        <f>J75</f>
        <v>82308.527030939236</v>
      </c>
    </row>
    <row r="73" spans="3:11" x14ac:dyDescent="0.35">
      <c r="C73" s="23" t="s">
        <v>50</v>
      </c>
      <c r="D73" s="24"/>
      <c r="E73" s="24"/>
      <c r="F73" s="19">
        <f>F75-F72-F74</f>
        <v>12300</v>
      </c>
      <c r="G73" s="15">
        <f>F73*(1+G27)</f>
        <v>15055.795043464175</v>
      </c>
      <c r="H73" s="15">
        <f>G73*(1+H27)</f>
        <v>18435.37215809081</v>
      </c>
      <c r="I73" s="15">
        <f>H73*(1+I27)</f>
        <v>22581.30646082824</v>
      </c>
      <c r="J73" s="15">
        <f>I73*(1+J27)</f>
        <v>27669.078443707458</v>
      </c>
      <c r="K73" s="15">
        <f>J73*(1+K27)</f>
        <v>33914.745628862038</v>
      </c>
    </row>
    <row r="74" spans="3:11" x14ac:dyDescent="0.35">
      <c r="C74" s="23" t="s">
        <v>51</v>
      </c>
      <c r="D74" s="24"/>
      <c r="E74" s="24"/>
      <c r="F74" s="19">
        <f>-F23</f>
        <v>-4000</v>
      </c>
      <c r="G74" s="15">
        <f>-1*G23</f>
        <v>-4896.193510069651</v>
      </c>
      <c r="H74" s="15">
        <f>-1*H23</f>
        <v>-5995.2429782409145</v>
      </c>
      <c r="I74" s="15">
        <f>-1*I23</f>
        <v>-7343.5142962043064</v>
      </c>
      <c r="J74" s="15">
        <f>-1*J23</f>
        <v>-8998.0742906365722</v>
      </c>
      <c r="K74" s="15">
        <f>-1*K23</f>
        <v>-11029.185570361638</v>
      </c>
    </row>
    <row r="75" spans="3:11" x14ac:dyDescent="0.35">
      <c r="C75" s="83" t="s">
        <v>52</v>
      </c>
      <c r="D75" s="82"/>
      <c r="E75" s="82"/>
      <c r="F75" s="78">
        <f>F39</f>
        <v>25800</v>
      </c>
      <c r="G75" s="80">
        <f>SUM(G72:G74)</f>
        <v>35959.601533394525</v>
      </c>
      <c r="H75" s="80">
        <f>SUM(H72:H74)</f>
        <v>48399.730713244418</v>
      </c>
      <c r="I75" s="80">
        <f>SUM(I72:I74)</f>
        <v>63637.522877868352</v>
      </c>
      <c r="J75" s="80">
        <f>SUM(J72:J74)</f>
        <v>82308.527030939236</v>
      </c>
      <c r="K75" s="80">
        <f>SUM(K72:K74)</f>
        <v>105194.08708943962</v>
      </c>
    </row>
    <row r="77" spans="3:11" x14ac:dyDescent="0.35">
      <c r="C77" s="74" t="s">
        <v>53</v>
      </c>
      <c r="D77" s="74"/>
      <c r="E77" s="74"/>
      <c r="F77" s="74"/>
      <c r="G77" s="74"/>
      <c r="H77" s="74"/>
      <c r="I77" s="74"/>
      <c r="J77" s="74"/>
      <c r="K77" s="74"/>
    </row>
    <row r="78" spans="3:11" x14ac:dyDescent="0.35">
      <c r="C78" s="21" t="s">
        <v>49</v>
      </c>
      <c r="G78" s="22">
        <f>F48</f>
        <v>21900</v>
      </c>
      <c r="H78" s="22">
        <f>G80</f>
        <v>99907.508584227733</v>
      </c>
      <c r="I78" s="22">
        <f>H80</f>
        <v>205433.12916484958</v>
      </c>
      <c r="J78" s="22">
        <f>I80</f>
        <v>364951.49559002835</v>
      </c>
      <c r="K78" s="22">
        <f>J80</f>
        <v>591623.59779082704</v>
      </c>
    </row>
    <row r="79" spans="3:11" x14ac:dyDescent="0.35">
      <c r="C79" s="23" t="s">
        <v>54</v>
      </c>
      <c r="D79" s="85"/>
      <c r="E79" s="85"/>
      <c r="F79" s="85"/>
      <c r="G79" s="22">
        <f>G21</f>
        <v>78007.508584227733</v>
      </c>
      <c r="H79" s="22">
        <f>H21</f>
        <v>105525.62058062185</v>
      </c>
      <c r="I79" s="22">
        <f>I21</f>
        <v>159518.36642517874</v>
      </c>
      <c r="J79" s="22">
        <f>J21</f>
        <v>226672.10220079875</v>
      </c>
      <c r="K79" s="22">
        <f>K21</f>
        <v>310005.95841509051</v>
      </c>
    </row>
    <row r="80" spans="3:11" x14ac:dyDescent="0.35">
      <c r="C80" s="83" t="s">
        <v>52</v>
      </c>
      <c r="D80" s="29"/>
      <c r="E80" s="29"/>
      <c r="F80" s="84"/>
      <c r="G80" s="80">
        <f>SUM(G78:G79)</f>
        <v>99907.508584227733</v>
      </c>
      <c r="H80" s="80">
        <f>SUM(H78:H79)</f>
        <v>205433.12916484958</v>
      </c>
      <c r="I80" s="80">
        <f>SUM(I78:I79)</f>
        <v>364951.49559002835</v>
      </c>
      <c r="J80" s="80">
        <f>SUM(J78:J79)</f>
        <v>591623.59779082704</v>
      </c>
      <c r="K80" s="80">
        <f>SUM(K78:K79)</f>
        <v>901629.55620591762</v>
      </c>
    </row>
    <row r="81" spans="3:11" ht="15" thickBot="1" x14ac:dyDescent="0.4">
      <c r="E81" s="27"/>
      <c r="F81" s="27"/>
    </row>
    <row r="82" spans="3:11" ht="19" thickBot="1" x14ac:dyDescent="0.5">
      <c r="C82" s="1"/>
      <c r="D82" s="2"/>
      <c r="E82" s="2"/>
      <c r="F82" s="2"/>
      <c r="G82" s="3"/>
      <c r="H82" s="3"/>
      <c r="I82" s="3"/>
      <c r="J82" s="3"/>
      <c r="K82" s="4" t="s">
        <v>0</v>
      </c>
    </row>
  </sheetData>
  <mergeCells count="1">
    <mergeCell ref="G71:K71"/>
  </mergeCells>
  <conditionalFormatting sqref="C30">
    <cfRule type="expression" dxfId="0" priority="2">
      <formula>#REF!=$E30</formula>
    </cfRule>
  </conditionalFormatting>
  <dataValidations count="1">
    <dataValidation type="list" allowBlank="1" showInputMessage="1" showErrorMessage="1" sqref="C3" xr:uid="{00000000-0002-0000-0000-000000000000}">
      <formula1>"in CHF"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9332B"/>
  </sheetPr>
  <dimension ref="C1:J35"/>
  <sheetViews>
    <sheetView showGridLines="0" topLeftCell="A4" zoomScale="103" zoomScaleNormal="77" workbookViewId="0">
      <selection activeCell="M31" sqref="M31"/>
    </sheetView>
  </sheetViews>
  <sheetFormatPr defaultColWidth="8.54296875" defaultRowHeight="14.5" x14ac:dyDescent="0.35"/>
  <cols>
    <col min="1" max="2" width="2.08984375" bestFit="1" customWidth="1"/>
    <col min="3" max="3" width="24.1796875" customWidth="1"/>
    <col min="4" max="4" width="9.54296875" customWidth="1"/>
    <col min="5" max="5" width="5.453125" customWidth="1"/>
    <col min="6" max="10" width="9.54296875" customWidth="1"/>
    <col min="11" max="11" width="10.26953125" customWidth="1"/>
    <col min="19" max="19" width="8.7265625" customWidth="1"/>
  </cols>
  <sheetData>
    <row r="1" spans="3:10" ht="15" customHeight="1" x14ac:dyDescent="0.35"/>
    <row r="2" spans="3:10" ht="15" customHeight="1" x14ac:dyDescent="0.45">
      <c r="C2" s="63" t="s">
        <v>80</v>
      </c>
      <c r="D2" s="64"/>
      <c r="E2" s="3"/>
      <c r="F2" s="3"/>
      <c r="G2" s="3"/>
      <c r="H2" s="3"/>
      <c r="I2" s="3"/>
      <c r="J2" s="4" t="s">
        <v>0</v>
      </c>
    </row>
    <row r="3" spans="3:10" x14ac:dyDescent="0.35">
      <c r="C3" s="75" t="str">
        <f>'3 Statement'!C3</f>
        <v>in CHF</v>
      </c>
    </row>
    <row r="4" spans="3:10" x14ac:dyDescent="0.35">
      <c r="C4" s="52"/>
    </row>
    <row r="5" spans="3:10" x14ac:dyDescent="0.35">
      <c r="C5" s="52"/>
    </row>
    <row r="6" spans="3:10" x14ac:dyDescent="0.35">
      <c r="C6" s="16" t="s">
        <v>81</v>
      </c>
      <c r="D6" s="69"/>
      <c r="E6" s="69"/>
      <c r="F6" s="70">
        <f>'3 Statement'!F9+1</f>
        <v>2027</v>
      </c>
      <c r="G6" s="70">
        <f>F6+1</f>
        <v>2028</v>
      </c>
      <c r="H6" s="70">
        <f>G6+1</f>
        <v>2029</v>
      </c>
      <c r="I6" s="70">
        <f>H6+1</f>
        <v>2030</v>
      </c>
      <c r="J6" s="70">
        <f>I6+1</f>
        <v>2031</v>
      </c>
    </row>
    <row r="7" spans="3:10" x14ac:dyDescent="0.35">
      <c r="C7" s="67" t="s">
        <v>7</v>
      </c>
      <c r="D7" s="68"/>
      <c r="E7" s="68"/>
      <c r="F7" s="68">
        <f>EOMONTH('3 Statement'!F10,12)</f>
        <v>46660</v>
      </c>
      <c r="G7" s="68">
        <f>EOMONTH(F7,12)</f>
        <v>47026</v>
      </c>
      <c r="H7" s="68">
        <f>EOMONTH(G7,12)</f>
        <v>47391</v>
      </c>
      <c r="I7" s="68">
        <f>EOMONTH(H7,12)</f>
        <v>47756</v>
      </c>
      <c r="J7" s="68">
        <f>EOMONTH(I7,12)</f>
        <v>48121</v>
      </c>
    </row>
    <row r="8" spans="3:10" ht="15" customHeight="1" x14ac:dyDescent="0.35"/>
    <row r="9" spans="3:10" ht="15" customHeight="1" x14ac:dyDescent="0.35">
      <c r="C9" s="18" t="s">
        <v>82</v>
      </c>
      <c r="D9" s="53" t="s">
        <v>83</v>
      </c>
      <c r="E9" s="54"/>
      <c r="F9" s="55"/>
      <c r="G9" s="55"/>
      <c r="H9" s="55"/>
      <c r="I9" s="55"/>
      <c r="J9" s="55"/>
    </row>
    <row r="10" spans="3:10" x14ac:dyDescent="0.35">
      <c r="C10" s="6" t="s">
        <v>84</v>
      </c>
      <c r="E10" s="56"/>
      <c r="F10" s="15">
        <f>INDEX(F16:F18, MATCH($D$9,$C$16:$C$18, 0))</f>
        <v>226706</v>
      </c>
      <c r="G10" s="15">
        <f>INDEX(G16:G18, MATCH($D$9,$C$16:$C$18, 0))</f>
        <v>277594.73799999995</v>
      </c>
      <c r="H10" s="15">
        <f>INDEX(H16:H18, MATCH($D$9,$C$16:$C$18, 0))</f>
        <v>340023.07069999992</v>
      </c>
      <c r="I10" s="15">
        <f>INDEX(I16:I18, MATCH($D$9,$C$16:$C$18, 0))</f>
        <v>416633.33484219993</v>
      </c>
      <c r="J10" s="15">
        <f>INDEX(J16:J18, MATCH($D$9,$C$16:$C$18, 0))</f>
        <v>510678.86487166985</v>
      </c>
    </row>
    <row r="11" spans="3:10" x14ac:dyDescent="0.35">
      <c r="C11" s="6" t="s">
        <v>85</v>
      </c>
      <c r="E11" s="56"/>
      <c r="F11" s="15">
        <f>INDEX(F21:F23, MATCH($D$9,$C$16:$C$18, 0))</f>
        <v>-33783.707865168501</v>
      </c>
      <c r="G11" s="15">
        <f>INDEX(G21:G23, MATCH($D$9,$C$16:$C$18, 0))</f>
        <v>-38827.2471910112</v>
      </c>
      <c r="H11" s="15">
        <f>INDEX(H21:H23, MATCH($D$9,$C$16:$C$18, 0))</f>
        <v>-39835.955056179802</v>
      </c>
      <c r="I11" s="15">
        <f>INDEX(I21:I23, MATCH($D$9,$C$16:$C$18, 0))</f>
        <v>-40844.662921348303</v>
      </c>
      <c r="J11" s="15">
        <f>INDEX(J21:J23, MATCH($D$9,$C$16:$C$18, 0))</f>
        <v>-41853.370786516898</v>
      </c>
    </row>
    <row r="12" spans="3:10" x14ac:dyDescent="0.35">
      <c r="C12" s="6" t="str">
        <f>C25</f>
        <v>Research &amp; Development</v>
      </c>
      <c r="E12" s="56"/>
      <c r="F12" s="15">
        <f>INDEX(F26:F28, MATCH($D$9,$C$16:$C$18, 0))</f>
        <v>-7112.3595505617996</v>
      </c>
      <c r="G12" s="15">
        <f>INDEX(G26:G28, MATCH($D$9,$C$16:$C$18, 0))</f>
        <v>-8174.15730337079</v>
      </c>
      <c r="H12" s="15">
        <f>INDEX(H26:H28, MATCH($D$9,$C$16:$C$18, 0))</f>
        <v>-8386.5168539325805</v>
      </c>
      <c r="I12" s="15">
        <f>INDEX(I26:I28, MATCH($D$9,$C$16:$C$18, 0))</f>
        <v>-8598.87640449438</v>
      </c>
      <c r="J12" s="15">
        <f>INDEX(J26:J28, MATCH($D$9,$C$16:$C$18, 0))</f>
        <v>-8811.2359550561796</v>
      </c>
    </row>
    <row r="13" spans="3:10" x14ac:dyDescent="0.35">
      <c r="C13" s="6" t="s">
        <v>9</v>
      </c>
      <c r="E13" s="56"/>
      <c r="F13" s="15">
        <f>INDEX(F31:F33, MATCH($D$9,$C$16:$C$18, 0))</f>
        <v>-101351.123595506</v>
      </c>
      <c r="G13" s="15">
        <f>INDEX(G31:G33, MATCH($D$9,$C$16:$C$18, 0))</f>
        <v>-116481.741573034</v>
      </c>
      <c r="H13" s="15">
        <f>INDEX(H31:H33, MATCH($D$9,$C$16:$C$18, 0))</f>
        <v>-119507.86516853901</v>
      </c>
      <c r="I13" s="15">
        <f>INDEX(I31:I33, MATCH($D$9,$C$16:$C$18, 0))</f>
        <v>-122533.988764045</v>
      </c>
      <c r="J13" s="15">
        <f>INDEX(J31:J33, MATCH($D$9,$C$16:$C$18, 0))</f>
        <v>-125560.112359551</v>
      </c>
    </row>
    <row r="14" spans="3:10" x14ac:dyDescent="0.35">
      <c r="E14" s="56"/>
    </row>
    <row r="15" spans="3:10" x14ac:dyDescent="0.35">
      <c r="C15" s="18" t="s">
        <v>84</v>
      </c>
      <c r="E15" s="56"/>
    </row>
    <row r="16" spans="3:10" x14ac:dyDescent="0.35">
      <c r="C16" s="6" t="s">
        <v>86</v>
      </c>
      <c r="E16" s="57">
        <v>0.05</v>
      </c>
      <c r="F16" s="58">
        <f>F17+$E$16*F17</f>
        <v>238041.3</v>
      </c>
      <c r="G16" s="58">
        <f>G17+$E$16*G17</f>
        <v>291474.47489999997</v>
      </c>
      <c r="H16" s="58">
        <f>H17+$E$16*H17</f>
        <v>357024.22423499991</v>
      </c>
      <c r="I16" s="58">
        <f>I17+$E$16*I17</f>
        <v>437465.00158430991</v>
      </c>
      <c r="J16" s="58">
        <f>J17+$E$16*J17</f>
        <v>536212.80811525334</v>
      </c>
    </row>
    <row r="17" spans="3:10" x14ac:dyDescent="0.35">
      <c r="C17" s="6" t="s">
        <v>83</v>
      </c>
      <c r="E17" s="73" t="s">
        <v>87</v>
      </c>
      <c r="F17" s="59">
        <f>'Rev build'!E27</f>
        <v>226706</v>
      </c>
      <c r="G17" s="59">
        <f>'Rev build'!F27</f>
        <v>277594.73799999995</v>
      </c>
      <c r="H17" s="59">
        <f>'Rev build'!G27</f>
        <v>340023.07069999992</v>
      </c>
      <c r="I17" s="59">
        <f>'Rev build'!H27</f>
        <v>416633.33484219993</v>
      </c>
      <c r="J17" s="59">
        <f>'Rev build'!I27</f>
        <v>510678.86487166985</v>
      </c>
    </row>
    <row r="18" spans="3:10" x14ac:dyDescent="0.35">
      <c r="C18" s="6" t="s">
        <v>88</v>
      </c>
      <c r="E18" s="57">
        <v>-0.05</v>
      </c>
      <c r="F18" s="58">
        <f>F17*$E$18+F17</f>
        <v>215370.7</v>
      </c>
      <c r="G18" s="58">
        <f>G17*$E$18+G17</f>
        <v>263715.00109999994</v>
      </c>
      <c r="H18" s="58">
        <f>H17*$E$18+H17</f>
        <v>323021.91716499993</v>
      </c>
      <c r="I18" s="58">
        <f>I17*$E$18+I17</f>
        <v>395801.66810008994</v>
      </c>
      <c r="J18" s="58">
        <f>J17*$E$18+J17</f>
        <v>485144.92162808636</v>
      </c>
    </row>
    <row r="19" spans="3:10" x14ac:dyDescent="0.35">
      <c r="E19" s="56"/>
    </row>
    <row r="20" spans="3:10" x14ac:dyDescent="0.35">
      <c r="C20" s="18" t="s">
        <v>85</v>
      </c>
      <c r="E20" s="56"/>
    </row>
    <row r="21" spans="3:10" x14ac:dyDescent="0.35">
      <c r="C21" s="6" t="s">
        <v>86</v>
      </c>
      <c r="E21" s="57">
        <v>-0.1</v>
      </c>
      <c r="F21" s="58">
        <f>(1+$E$21)*F22</f>
        <v>-30405.33707865165</v>
      </c>
      <c r="G21" s="58">
        <f>(1+$E$21)*G22</f>
        <v>-34944.522471910081</v>
      </c>
      <c r="H21" s="58">
        <f>(1+$E$21)*H22</f>
        <v>-35852.359550561821</v>
      </c>
      <c r="I21" s="58">
        <f>(1+$E$21)*I22</f>
        <v>-36760.196629213475</v>
      </c>
      <c r="J21" s="58">
        <f>(1+$E$21)*J22</f>
        <v>-37668.033707865208</v>
      </c>
    </row>
    <row r="22" spans="3:10" x14ac:dyDescent="0.35">
      <c r="C22" s="6" t="s">
        <v>83</v>
      </c>
      <c r="E22" s="73" t="s">
        <v>87</v>
      </c>
      <c r="F22" s="98">
        <v>-33783.707865168501</v>
      </c>
      <c r="G22" s="98">
        <v>-38827.2471910112</v>
      </c>
      <c r="H22" s="98">
        <v>-39835.955056179802</v>
      </c>
      <c r="I22" s="98">
        <v>-40844.662921348303</v>
      </c>
      <c r="J22" s="98">
        <v>-41853.370786516898</v>
      </c>
    </row>
    <row r="23" spans="3:10" x14ac:dyDescent="0.35">
      <c r="C23" s="6" t="s">
        <v>88</v>
      </c>
      <c r="E23" s="57">
        <v>0.1</v>
      </c>
      <c r="F23" s="58">
        <f>($E$23+1)*F22</f>
        <v>-37162.078651685355</v>
      </c>
      <c r="G23" s="58">
        <f>($E$23+1)*G22</f>
        <v>-42709.971910112326</v>
      </c>
      <c r="H23" s="58">
        <f>($E$23+1)*H22</f>
        <v>-43819.550561797783</v>
      </c>
      <c r="I23" s="58">
        <f>($E$23+1)*I22</f>
        <v>-44929.129213483138</v>
      </c>
      <c r="J23" s="58">
        <f>($E$23+1)*J22</f>
        <v>-46038.707865168595</v>
      </c>
    </row>
    <row r="24" spans="3:10" x14ac:dyDescent="0.35">
      <c r="C24" s="33"/>
      <c r="E24" s="56"/>
    </row>
    <row r="25" spans="3:10" x14ac:dyDescent="0.35">
      <c r="C25" s="18" t="s">
        <v>89</v>
      </c>
      <c r="E25" s="56"/>
    </row>
    <row r="26" spans="3:10" x14ac:dyDescent="0.35">
      <c r="C26" s="6" t="s">
        <v>86</v>
      </c>
      <c r="E26" s="57">
        <v>-0.15</v>
      </c>
      <c r="F26" s="58">
        <f>F27+$E$26*F27</f>
        <v>-6045.5056179775293</v>
      </c>
      <c r="G26" s="58">
        <f>G27+$E$26*G27</f>
        <v>-6948.0337078651719</v>
      </c>
      <c r="H26" s="58">
        <f>H27+$E$26*H27</f>
        <v>-7128.5393258426939</v>
      </c>
      <c r="I26" s="58">
        <f>I27+$E$26*I27</f>
        <v>-7309.0449438202231</v>
      </c>
      <c r="J26" s="58">
        <f>J27+$E$26*J27</f>
        <v>-7489.5505617977524</v>
      </c>
    </row>
    <row r="27" spans="3:10" x14ac:dyDescent="0.35">
      <c r="C27" s="6" t="s">
        <v>83</v>
      </c>
      <c r="E27" s="73" t="s">
        <v>87</v>
      </c>
      <c r="F27" s="98">
        <v>-7112.3595505617996</v>
      </c>
      <c r="G27" s="98">
        <v>-8174.15730337079</v>
      </c>
      <c r="H27" s="98">
        <v>-8386.5168539325805</v>
      </c>
      <c r="I27" s="98">
        <v>-8598.87640449438</v>
      </c>
      <c r="J27" s="98">
        <v>-8811.2359550561796</v>
      </c>
    </row>
    <row r="28" spans="3:10" x14ac:dyDescent="0.35">
      <c r="C28" s="6" t="s">
        <v>88</v>
      </c>
      <c r="E28" s="57">
        <f>15%</f>
        <v>0.15</v>
      </c>
      <c r="F28" s="58">
        <f>F27*E28+F27</f>
        <v>-8179.2134831460698</v>
      </c>
      <c r="G28" s="58">
        <f>F28</f>
        <v>-8179.2134831460698</v>
      </c>
      <c r="H28" s="58">
        <f>G28</f>
        <v>-8179.2134831460698</v>
      </c>
      <c r="I28" s="58">
        <f>H28</f>
        <v>-8179.2134831460698</v>
      </c>
      <c r="J28" s="58">
        <f>I28</f>
        <v>-8179.2134831460698</v>
      </c>
    </row>
    <row r="29" spans="3:10" x14ac:dyDescent="0.35">
      <c r="C29" s="33"/>
      <c r="E29" s="56"/>
    </row>
    <row r="30" spans="3:10" x14ac:dyDescent="0.35">
      <c r="C30" s="18" t="s">
        <v>9</v>
      </c>
      <c r="E30" s="56"/>
    </row>
    <row r="31" spans="3:10" x14ac:dyDescent="0.35">
      <c r="C31" s="6" t="s">
        <v>86</v>
      </c>
      <c r="E31" s="57">
        <f>-25%</f>
        <v>-0.25</v>
      </c>
      <c r="F31" s="58">
        <f>(1+$E$31)*F32</f>
        <v>-76013.342696629494</v>
      </c>
      <c r="G31" s="58">
        <f>(1+$E$31)*G32</f>
        <v>-87361.306179775507</v>
      </c>
      <c r="H31" s="58">
        <f>(1+$E$31)*H32</f>
        <v>-89630.898876404259</v>
      </c>
      <c r="I31" s="58">
        <f>(1+$E$31)*I32</f>
        <v>-91900.491573033753</v>
      </c>
      <c r="J31" s="58">
        <f>(1+$E$31)*J32</f>
        <v>-94170.084269663246</v>
      </c>
    </row>
    <row r="32" spans="3:10" x14ac:dyDescent="0.35">
      <c r="C32" s="6" t="s">
        <v>83</v>
      </c>
      <c r="E32" s="73" t="s">
        <v>87</v>
      </c>
      <c r="F32" s="98">
        <v>-101351.123595506</v>
      </c>
      <c r="G32" s="98">
        <v>-116481.741573034</v>
      </c>
      <c r="H32" s="98">
        <v>-119507.86516853901</v>
      </c>
      <c r="I32" s="98">
        <v>-122533.988764045</v>
      </c>
      <c r="J32" s="98">
        <v>-125560.112359551</v>
      </c>
    </row>
    <row r="33" spans="3:10" x14ac:dyDescent="0.35">
      <c r="C33" s="6" t="s">
        <v>88</v>
      </c>
      <c r="E33" s="57">
        <v>0.25</v>
      </c>
      <c r="F33" s="58">
        <f>(1+$E$33)*F32</f>
        <v>-126688.9044943825</v>
      </c>
      <c r="G33" s="58">
        <f>(1+$E$33)*G32</f>
        <v>-145602.17696629249</v>
      </c>
      <c r="H33" s="58">
        <f>(1+$E$33)*H32</f>
        <v>-149384.83146067377</v>
      </c>
      <c r="I33" s="58">
        <f>(1+$E$33)*I32</f>
        <v>-153167.48595505627</v>
      </c>
      <c r="J33" s="58">
        <f>(1+$E$33)*J32</f>
        <v>-156950.14044943874</v>
      </c>
    </row>
    <row r="35" spans="3:10" ht="18.5" x14ac:dyDescent="0.45">
      <c r="C35" s="63"/>
      <c r="D35" s="64"/>
      <c r="E35" s="3"/>
      <c r="F35" s="3"/>
      <c r="G35" s="3"/>
      <c r="H35" s="3"/>
      <c r="I35" s="3"/>
      <c r="J35" s="4" t="s">
        <v>0</v>
      </c>
    </row>
  </sheetData>
  <dataValidations count="1">
    <dataValidation type="list" allowBlank="1" showInputMessage="1" showErrorMessage="1" sqref="D9" xr:uid="{00000000-0002-0000-0200-000000000000}">
      <formula1>"Weak case,Best case,Base case"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9332B"/>
  </sheetPr>
  <dimension ref="C1:L49"/>
  <sheetViews>
    <sheetView showGridLines="0" zoomScale="80" zoomScaleNormal="70" workbookViewId="0">
      <selection activeCell="N26" sqref="N26"/>
    </sheetView>
  </sheetViews>
  <sheetFormatPr defaultColWidth="8.54296875" defaultRowHeight="14.5" x14ac:dyDescent="0.35"/>
  <cols>
    <col min="1" max="2" width="1.81640625" bestFit="1" customWidth="1"/>
    <col min="3" max="3" width="31.81640625" customWidth="1"/>
    <col min="4" max="4" width="10" customWidth="1"/>
    <col min="5" max="6" width="8.81640625" customWidth="1"/>
    <col min="7" max="7" width="9.6328125" customWidth="1"/>
    <col min="8" max="9" width="8.81640625" customWidth="1"/>
    <col min="10" max="11" width="1.81640625" bestFit="1" customWidth="1"/>
  </cols>
  <sheetData>
    <row r="1" spans="3:12" ht="15" customHeight="1" x14ac:dyDescent="0.35"/>
    <row r="2" spans="3:12" ht="15" customHeight="1" x14ac:dyDescent="0.45">
      <c r="C2" s="63" t="s">
        <v>90</v>
      </c>
      <c r="D2" s="63"/>
      <c r="E2" s="64"/>
      <c r="F2" s="3"/>
      <c r="G2" s="3"/>
      <c r="H2" s="3"/>
      <c r="I2" s="4" t="s">
        <v>0</v>
      </c>
    </row>
    <row r="3" spans="3:12" x14ac:dyDescent="0.35">
      <c r="C3" s="75" t="str">
        <f>Scenario!C3</f>
        <v>in CHF</v>
      </c>
      <c r="D3" s="75"/>
    </row>
    <row r="5" spans="3:12" x14ac:dyDescent="0.35">
      <c r="C5" s="18" t="s">
        <v>91</v>
      </c>
      <c r="D5" s="18" t="s">
        <v>107</v>
      </c>
      <c r="G5" s="33"/>
      <c r="H5" s="33"/>
      <c r="K5" s="33"/>
      <c r="L5" s="33"/>
    </row>
    <row r="6" spans="3:12" x14ac:dyDescent="0.35">
      <c r="C6" s="6" t="s">
        <v>92</v>
      </c>
      <c r="D6" s="60">
        <v>65</v>
      </c>
      <c r="H6" s="9"/>
      <c r="K6" s="33"/>
      <c r="L6" s="33"/>
    </row>
    <row r="7" spans="3:12" x14ac:dyDescent="0.35">
      <c r="C7" s="6" t="s">
        <v>93</v>
      </c>
      <c r="D7" s="60">
        <v>120</v>
      </c>
      <c r="H7" s="9"/>
    </row>
    <row r="8" spans="3:12" x14ac:dyDescent="0.35">
      <c r="C8" s="6" t="s">
        <v>94</v>
      </c>
      <c r="D8" s="60">
        <v>30</v>
      </c>
      <c r="H8" s="9"/>
    </row>
    <row r="9" spans="3:12" x14ac:dyDescent="0.35">
      <c r="C9" s="6" t="s">
        <v>95</v>
      </c>
      <c r="D9" s="60">
        <v>100</v>
      </c>
    </row>
    <row r="12" spans="3:12" x14ac:dyDescent="0.35">
      <c r="C12" s="16" t="s">
        <v>6</v>
      </c>
      <c r="D12" s="69">
        <f>'3 Statement'!E9+1</f>
        <v>2026</v>
      </c>
      <c r="E12" s="70">
        <f>'3 Statement'!F9+1</f>
        <v>2027</v>
      </c>
      <c r="F12" s="70">
        <f>E12+1</f>
        <v>2028</v>
      </c>
      <c r="G12" s="70">
        <f>F12+1</f>
        <v>2029</v>
      </c>
      <c r="H12" s="70">
        <f>G12+1</f>
        <v>2030</v>
      </c>
      <c r="I12" s="70">
        <f>H12+1</f>
        <v>2031</v>
      </c>
    </row>
    <row r="13" spans="3:12" x14ac:dyDescent="0.35">
      <c r="C13" s="67" t="s">
        <v>7</v>
      </c>
      <c r="D13" s="68">
        <f>EOMONTH('3 Statement'!E10,12)</f>
        <v>46295</v>
      </c>
      <c r="E13" s="68">
        <f>EOMONTH('3 Statement'!F10,12)</f>
        <v>46660</v>
      </c>
      <c r="F13" s="68">
        <f>EOMONTH(E13,12)</f>
        <v>47026</v>
      </c>
      <c r="G13" s="68">
        <f>EOMONTH(F13,12)</f>
        <v>47391</v>
      </c>
      <c r="H13" s="68">
        <f>EOMONTH(G13,12)</f>
        <v>47756</v>
      </c>
      <c r="I13" s="68">
        <f>EOMONTH(H13,12)</f>
        <v>48121</v>
      </c>
    </row>
    <row r="15" spans="3:12" x14ac:dyDescent="0.35">
      <c r="C15" s="92" t="s">
        <v>96</v>
      </c>
      <c r="D15" s="92"/>
      <c r="E15" s="92"/>
      <c r="F15" s="92"/>
      <c r="G15" s="92"/>
      <c r="H15" s="92"/>
      <c r="I15" s="92"/>
    </row>
    <row r="16" spans="3:12" x14ac:dyDescent="0.35">
      <c r="C16" s="6" t="str">
        <f>C6</f>
        <v>A</v>
      </c>
      <c r="D16" s="13">
        <v>554</v>
      </c>
      <c r="E16" s="15">
        <f>D16*(1+$D44)</f>
        <v>675.88</v>
      </c>
      <c r="F16" s="15">
        <f t="shared" ref="F16:I16" si="0">E16*(1+$D44)</f>
        <v>824.57359999999994</v>
      </c>
      <c r="G16" s="15">
        <f t="shared" si="0"/>
        <v>1005.9797919999999</v>
      </c>
      <c r="H16" s="15">
        <f t="shared" si="0"/>
        <v>1227.2953462399998</v>
      </c>
      <c r="I16" s="15">
        <f t="shared" si="0"/>
        <v>1497.3003224127997</v>
      </c>
      <c r="L16" s="100" t="s">
        <v>110</v>
      </c>
    </row>
    <row r="17" spans="3:12" x14ac:dyDescent="0.35">
      <c r="C17" s="6" t="str">
        <f>C7</f>
        <v>B</v>
      </c>
      <c r="D17" s="13">
        <v>1033</v>
      </c>
      <c r="E17" s="15">
        <f t="shared" ref="E17:I17" si="1">D17*(1+$D45)</f>
        <v>1270.5899999999999</v>
      </c>
      <c r="F17" s="15">
        <f t="shared" si="1"/>
        <v>1562.8256999999999</v>
      </c>
      <c r="G17" s="15">
        <f t="shared" si="1"/>
        <v>1922.2756109999998</v>
      </c>
      <c r="H17" s="15">
        <f t="shared" si="1"/>
        <v>2364.3990015299996</v>
      </c>
      <c r="I17" s="15">
        <f t="shared" si="1"/>
        <v>2908.2107718818993</v>
      </c>
      <c r="L17" s="100" t="s">
        <v>109</v>
      </c>
    </row>
    <row r="18" spans="3:12" x14ac:dyDescent="0.35">
      <c r="C18" s="6" t="str">
        <f>C8</f>
        <v>C</v>
      </c>
      <c r="D18" s="13">
        <v>198</v>
      </c>
      <c r="E18" s="15">
        <f t="shared" ref="E18:I18" si="2">D18*(1+$D46)</f>
        <v>257.40000000000003</v>
      </c>
      <c r="F18" s="15">
        <f t="shared" si="2"/>
        <v>334.62000000000006</v>
      </c>
      <c r="G18" s="15">
        <f t="shared" si="2"/>
        <v>435.00600000000009</v>
      </c>
      <c r="H18" s="15">
        <f t="shared" si="2"/>
        <v>565.50780000000009</v>
      </c>
      <c r="I18" s="15">
        <f t="shared" si="2"/>
        <v>735.16014000000018</v>
      </c>
      <c r="L18" s="100" t="s">
        <v>111</v>
      </c>
    </row>
    <row r="19" spans="3:12" x14ac:dyDescent="0.35">
      <c r="C19" s="6" t="str">
        <f>C9</f>
        <v>D</v>
      </c>
      <c r="D19" s="13">
        <v>193</v>
      </c>
      <c r="E19" s="15">
        <f>D19*(1+$D47)</f>
        <v>225.80999999999997</v>
      </c>
      <c r="F19" s="15">
        <f t="shared" ref="F19:I19" si="3">E19*(1+$D47)</f>
        <v>264.19769999999994</v>
      </c>
      <c r="G19" s="15">
        <f t="shared" si="3"/>
        <v>309.11130899999989</v>
      </c>
      <c r="H19" s="15">
        <f t="shared" si="3"/>
        <v>361.66023152999986</v>
      </c>
      <c r="I19" s="15">
        <f t="shared" si="3"/>
        <v>423.14247089009979</v>
      </c>
      <c r="L19" s="100" t="s">
        <v>112</v>
      </c>
    </row>
    <row r="20" spans="3:12" x14ac:dyDescent="0.35">
      <c r="C20" s="18" t="s">
        <v>97</v>
      </c>
      <c r="D20" s="94">
        <f t="shared" ref="D20:I20" si="4">SUM(D16:D19)</f>
        <v>1978</v>
      </c>
      <c r="E20" s="62">
        <f t="shared" si="4"/>
        <v>2429.6799999999998</v>
      </c>
      <c r="F20" s="62">
        <f t="shared" si="4"/>
        <v>2986.2169999999996</v>
      </c>
      <c r="G20" s="62">
        <f t="shared" si="4"/>
        <v>3672.3727119999994</v>
      </c>
      <c r="H20" s="62">
        <f t="shared" si="4"/>
        <v>4518.8623792999997</v>
      </c>
      <c r="I20" s="62">
        <f t="shared" si="4"/>
        <v>5563.8137051847989</v>
      </c>
    </row>
    <row r="22" spans="3:12" x14ac:dyDescent="0.35">
      <c r="C22" s="92" t="s">
        <v>98</v>
      </c>
      <c r="D22" s="92"/>
      <c r="E22" s="92"/>
      <c r="F22" s="92"/>
      <c r="G22" s="92"/>
      <c r="H22" s="92"/>
      <c r="I22" s="92"/>
    </row>
    <row r="23" spans="3:12" x14ac:dyDescent="0.35">
      <c r="C23" s="6" t="str">
        <f>C6</f>
        <v>A</v>
      </c>
      <c r="D23" s="97">
        <f t="shared" ref="D23:I23" si="5">D16*$D$6</f>
        <v>36010</v>
      </c>
      <c r="E23" s="15">
        <f t="shared" si="5"/>
        <v>43932.2</v>
      </c>
      <c r="F23" s="15">
        <f t="shared" si="5"/>
        <v>53597.284</v>
      </c>
      <c r="G23" s="15">
        <f t="shared" si="5"/>
        <v>65388.686479999989</v>
      </c>
      <c r="H23" s="15">
        <f t="shared" si="5"/>
        <v>79774.197505599994</v>
      </c>
      <c r="I23" s="15">
        <f t="shared" si="5"/>
        <v>97324.520956831984</v>
      </c>
    </row>
    <row r="24" spans="3:12" x14ac:dyDescent="0.35">
      <c r="C24" s="6" t="str">
        <f>C7</f>
        <v>B</v>
      </c>
      <c r="D24" s="97">
        <f t="shared" ref="D24:I24" si="6">D17*$D$7</f>
        <v>123960</v>
      </c>
      <c r="E24" s="15">
        <f t="shared" si="6"/>
        <v>152470.79999999999</v>
      </c>
      <c r="F24" s="15">
        <f t="shared" si="6"/>
        <v>187539.08399999997</v>
      </c>
      <c r="G24" s="15">
        <f t="shared" si="6"/>
        <v>230673.07331999997</v>
      </c>
      <c r="H24" s="15">
        <f t="shared" si="6"/>
        <v>283727.88018359995</v>
      </c>
      <c r="I24" s="15">
        <f t="shared" si="6"/>
        <v>348985.29262582789</v>
      </c>
    </row>
    <row r="25" spans="3:12" x14ac:dyDescent="0.35">
      <c r="C25" s="6" t="str">
        <f>C8</f>
        <v>C</v>
      </c>
      <c r="D25" s="97">
        <f t="shared" ref="D25:I25" si="7">D18*$D$8</f>
        <v>5940</v>
      </c>
      <c r="E25" s="15">
        <f t="shared" si="7"/>
        <v>7722.0000000000009</v>
      </c>
      <c r="F25" s="15">
        <f t="shared" si="7"/>
        <v>10038.600000000002</v>
      </c>
      <c r="G25" s="15">
        <f t="shared" si="7"/>
        <v>13050.180000000002</v>
      </c>
      <c r="H25" s="15">
        <f t="shared" si="7"/>
        <v>16965.234000000004</v>
      </c>
      <c r="I25" s="15">
        <f t="shared" si="7"/>
        <v>22054.804200000006</v>
      </c>
    </row>
    <row r="26" spans="3:12" x14ac:dyDescent="0.35">
      <c r="C26" s="6" t="str">
        <f>C9</f>
        <v>D</v>
      </c>
      <c r="D26" s="97">
        <f t="shared" ref="D26:I26" si="8">D19*$D$9</f>
        <v>19300</v>
      </c>
      <c r="E26" s="15">
        <f t="shared" si="8"/>
        <v>22580.999999999996</v>
      </c>
      <c r="F26" s="15">
        <f t="shared" si="8"/>
        <v>26419.769999999993</v>
      </c>
      <c r="G26" s="15">
        <f t="shared" si="8"/>
        <v>30911.130899999989</v>
      </c>
      <c r="H26" s="15">
        <f t="shared" si="8"/>
        <v>36166.023152999987</v>
      </c>
      <c r="I26" s="15">
        <f t="shared" si="8"/>
        <v>42314.247089009979</v>
      </c>
    </row>
    <row r="27" spans="3:12" x14ac:dyDescent="0.35">
      <c r="C27" s="18" t="s">
        <v>104</v>
      </c>
      <c r="D27" s="95">
        <f t="shared" ref="D27:I27" si="9">SUM(D23:D26)</f>
        <v>185210</v>
      </c>
      <c r="E27" s="62">
        <f t="shared" si="9"/>
        <v>226706</v>
      </c>
      <c r="F27" s="62">
        <f t="shared" si="9"/>
        <v>277594.73799999995</v>
      </c>
      <c r="G27" s="62">
        <f t="shared" si="9"/>
        <v>340023.07069999992</v>
      </c>
      <c r="H27" s="62">
        <f t="shared" si="9"/>
        <v>416633.33484219993</v>
      </c>
      <c r="I27" s="62">
        <f t="shared" si="9"/>
        <v>510678.86487166985</v>
      </c>
    </row>
    <row r="29" spans="3:12" x14ac:dyDescent="0.35">
      <c r="C29" s="92" t="s">
        <v>99</v>
      </c>
      <c r="D29" s="92"/>
      <c r="E29" s="92"/>
      <c r="F29" s="92"/>
      <c r="G29" s="92"/>
      <c r="H29" s="92"/>
      <c r="I29" s="92"/>
    </row>
    <row r="30" spans="3:12" x14ac:dyDescent="0.35">
      <c r="C30" s="6" t="str">
        <f>C23</f>
        <v>A</v>
      </c>
      <c r="D30" s="35">
        <f t="shared" ref="D30:I33" si="10">D23/D$27</f>
        <v>0.1944279466551482</v>
      </c>
      <c r="E30" s="35">
        <f t="shared" si="10"/>
        <v>0.19378490203170626</v>
      </c>
      <c r="F30" s="35">
        <f t="shared" si="10"/>
        <v>0.19307744947240321</v>
      </c>
      <c r="G30" s="35">
        <f t="shared" si="10"/>
        <v>0.1923066171521402</v>
      </c>
      <c r="H30" s="35">
        <f t="shared" si="10"/>
        <v>0.19147339119135656</v>
      </c>
      <c r="I30" s="35">
        <f t="shared" si="10"/>
        <v>0.19057871326100206</v>
      </c>
    </row>
    <row r="31" spans="3:12" x14ac:dyDescent="0.35">
      <c r="C31" s="6" t="str">
        <f>C24</f>
        <v>B</v>
      </c>
      <c r="D31" s="35">
        <f t="shared" si="10"/>
        <v>0.66929431456184874</v>
      </c>
      <c r="E31" s="35">
        <f t="shared" si="10"/>
        <v>0.67254858715693444</v>
      </c>
      <c r="F31" s="35">
        <f t="shared" si="10"/>
        <v>0.67558587511842538</v>
      </c>
      <c r="G31" s="35">
        <f t="shared" si="10"/>
        <v>0.67840418253125323</v>
      </c>
      <c r="H31" s="35">
        <f t="shared" si="10"/>
        <v>0.68100139008575011</v>
      </c>
      <c r="I31" s="35">
        <f t="shared" si="10"/>
        <v>0.68337524152977336</v>
      </c>
    </row>
    <row r="32" spans="3:12" x14ac:dyDescent="0.35">
      <c r="C32" s="6" t="str">
        <f>C25</f>
        <v>C</v>
      </c>
      <c r="D32" s="35">
        <f t="shared" si="10"/>
        <v>3.2071702391879488E-2</v>
      </c>
      <c r="E32" s="35">
        <f t="shared" si="10"/>
        <v>3.406173634575177E-2</v>
      </c>
      <c r="F32" s="35">
        <f t="shared" si="10"/>
        <v>3.6162789224052236E-2</v>
      </c>
      <c r="G32" s="35">
        <f t="shared" si="10"/>
        <v>3.8380278059173489E-2</v>
      </c>
      <c r="H32" s="35">
        <f t="shared" si="10"/>
        <v>4.0719819038065194E-2</v>
      </c>
      <c r="I32" s="35">
        <f t="shared" si="10"/>
        <v>4.3187227271569636E-2</v>
      </c>
    </row>
    <row r="33" spans="3:12" x14ac:dyDescent="0.35">
      <c r="C33" s="6" t="str">
        <f>C26</f>
        <v>D</v>
      </c>
      <c r="D33" s="35">
        <f t="shared" si="10"/>
        <v>0.10420603639112359</v>
      </c>
      <c r="E33" s="35">
        <f t="shared" si="10"/>
        <v>9.9604774465607421E-2</v>
      </c>
      <c r="F33" s="35">
        <f t="shared" si="10"/>
        <v>9.5173886185119252E-2</v>
      </c>
      <c r="G33" s="35">
        <f t="shared" si="10"/>
        <v>9.0908922257433147E-2</v>
      </c>
      <c r="H33" s="35">
        <f t="shared" si="10"/>
        <v>8.6805399684828116E-2</v>
      </c>
      <c r="I33" s="35">
        <f t="shared" si="10"/>
        <v>8.2858817937654941E-2</v>
      </c>
    </row>
    <row r="35" spans="3:12" x14ac:dyDescent="0.35">
      <c r="C35" s="92" t="s">
        <v>100</v>
      </c>
      <c r="D35" s="92"/>
      <c r="E35" s="92"/>
      <c r="F35" s="92"/>
      <c r="G35" s="92"/>
      <c r="H35" s="92"/>
      <c r="I35" s="92"/>
    </row>
    <row r="36" spans="3:12" x14ac:dyDescent="0.35">
      <c r="C36" s="6" t="s">
        <v>101</v>
      </c>
      <c r="D36" s="96">
        <f t="shared" ref="D36:I36" si="11">D20/D38</f>
        <v>0.97390448055145251</v>
      </c>
      <c r="E36" s="61">
        <f t="shared" si="11"/>
        <v>1.0875430822255043</v>
      </c>
      <c r="F36" s="61">
        <f t="shared" si="11"/>
        <v>1.336653238440535</v>
      </c>
      <c r="G36" s="61">
        <f t="shared" si="11"/>
        <v>1.6437817071751484</v>
      </c>
      <c r="H36" s="61">
        <f t="shared" si="11"/>
        <v>2.02267686285305</v>
      </c>
      <c r="I36" s="61">
        <f t="shared" si="11"/>
        <v>2.4904049528601218</v>
      </c>
    </row>
    <row r="37" spans="3:12" x14ac:dyDescent="0.35">
      <c r="C37" s="6" t="s">
        <v>102</v>
      </c>
      <c r="D37" s="96">
        <f t="shared" ref="D37:I37" si="12">D27/D38</f>
        <v>91.191531265386516</v>
      </c>
      <c r="E37" s="61">
        <f t="shared" si="12"/>
        <v>101.47531444429522</v>
      </c>
      <c r="F37" s="61">
        <f t="shared" si="12"/>
        <v>124.2534971576921</v>
      </c>
      <c r="G37" s="61">
        <f t="shared" si="12"/>
        <v>152.19688944093812</v>
      </c>
      <c r="H37" s="61">
        <f t="shared" si="12"/>
        <v>186.4882211370126</v>
      </c>
      <c r="I37" s="61">
        <f t="shared" si="12"/>
        <v>228.58370926622342</v>
      </c>
    </row>
    <row r="38" spans="3:12" x14ac:dyDescent="0.35">
      <c r="C38" s="18" t="s">
        <v>103</v>
      </c>
      <c r="D38" s="84">
        <v>2031</v>
      </c>
      <c r="E38" s="62">
        <f>D38*(1+D43)</f>
        <v>2234.1000000000004</v>
      </c>
      <c r="F38" s="62">
        <f t="shared" ref="F38:I38" si="13">E38*(1+E43)</f>
        <v>2234.1000000000004</v>
      </c>
      <c r="G38" s="62">
        <f t="shared" si="13"/>
        <v>2234.1000000000004</v>
      </c>
      <c r="H38" s="62">
        <f t="shared" si="13"/>
        <v>2234.1000000000004</v>
      </c>
      <c r="I38" s="62">
        <f t="shared" si="13"/>
        <v>2234.1000000000004</v>
      </c>
      <c r="L38" s="100" t="s">
        <v>108</v>
      </c>
    </row>
    <row r="40" spans="3:12" x14ac:dyDescent="0.35">
      <c r="C40" s="16" t="s">
        <v>104</v>
      </c>
      <c r="D40" s="16"/>
      <c r="E40" s="17">
        <f>E38*E37</f>
        <v>226706</v>
      </c>
      <c r="F40" s="17">
        <f>F38*F37</f>
        <v>277594.73799999995</v>
      </c>
      <c r="G40" s="17">
        <f>G38*G37</f>
        <v>340023.07069999992</v>
      </c>
      <c r="H40" s="17">
        <f>H38*H37</f>
        <v>416633.33484219993</v>
      </c>
      <c r="I40" s="17">
        <f>I38*I37</f>
        <v>510678.86487166985</v>
      </c>
    </row>
    <row r="42" spans="3:12" x14ac:dyDescent="0.35">
      <c r="C42" s="101" t="s">
        <v>113</v>
      </c>
    </row>
    <row r="43" spans="3:12" x14ac:dyDescent="0.35">
      <c r="C43" t="s">
        <v>114</v>
      </c>
      <c r="D43" s="35">
        <v>0.1</v>
      </c>
    </row>
    <row r="44" spans="3:12" x14ac:dyDescent="0.35">
      <c r="C44" t="s">
        <v>115</v>
      </c>
      <c r="D44" s="35">
        <v>0.22</v>
      </c>
    </row>
    <row r="45" spans="3:12" x14ac:dyDescent="0.35">
      <c r="C45" t="s">
        <v>116</v>
      </c>
      <c r="D45" s="35">
        <v>0.23</v>
      </c>
    </row>
    <row r="46" spans="3:12" x14ac:dyDescent="0.35">
      <c r="C46" t="s">
        <v>117</v>
      </c>
      <c r="D46" s="35">
        <v>0.3</v>
      </c>
    </row>
    <row r="47" spans="3:12" x14ac:dyDescent="0.35">
      <c r="C47" t="s">
        <v>118</v>
      </c>
      <c r="D47" s="35">
        <v>0.17</v>
      </c>
    </row>
    <row r="49" spans="3:9" ht="18.5" x14ac:dyDescent="0.45">
      <c r="C49" s="63"/>
      <c r="D49" s="63"/>
      <c r="E49" s="64"/>
      <c r="F49" s="3"/>
      <c r="G49" s="3"/>
      <c r="H49" s="3"/>
      <c r="I49" s="4" t="s">
        <v>0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9332B"/>
  </sheetPr>
  <dimension ref="C2:K88"/>
  <sheetViews>
    <sheetView showGridLines="0" tabSelected="1" topLeftCell="A26" zoomScale="76" zoomScaleNormal="96" workbookViewId="0">
      <selection activeCell="F39" sqref="F39"/>
    </sheetView>
  </sheetViews>
  <sheetFormatPr defaultColWidth="8.54296875" defaultRowHeight="14.5" x14ac:dyDescent="0.35"/>
  <cols>
    <col min="1" max="2" width="1.90625" bestFit="1" customWidth="1"/>
    <col min="3" max="3" width="40" customWidth="1"/>
    <col min="4" max="4" width="11.26953125" customWidth="1"/>
    <col min="5" max="5" width="10.26953125" customWidth="1"/>
    <col min="6" max="6" width="9.81640625" customWidth="1"/>
    <col min="7" max="10" width="9.90625" customWidth="1"/>
  </cols>
  <sheetData>
    <row r="2" spans="3:10" ht="15" customHeight="1" x14ac:dyDescent="0.35"/>
    <row r="3" spans="3:10" ht="15" customHeight="1" x14ac:dyDescent="0.45">
      <c r="C3" s="1" t="s">
        <v>55</v>
      </c>
      <c r="D3" s="2"/>
      <c r="E3" s="2"/>
      <c r="F3" s="2"/>
      <c r="G3" s="2"/>
      <c r="H3" s="2"/>
      <c r="I3" s="2"/>
      <c r="J3" s="34" t="s">
        <v>0</v>
      </c>
    </row>
    <row r="4" spans="3:10" x14ac:dyDescent="0.35">
      <c r="C4" s="76" t="str">
        <f>'3 Statement'!C3</f>
        <v>in CHF</v>
      </c>
    </row>
    <row r="6" spans="3:10" x14ac:dyDescent="0.35">
      <c r="C6" s="6" t="s">
        <v>56</v>
      </c>
      <c r="E6" s="35">
        <v>0.1</v>
      </c>
    </row>
    <row r="7" spans="3:10" x14ac:dyDescent="0.35">
      <c r="C7" t="s">
        <v>122</v>
      </c>
      <c r="E7" s="35">
        <v>0.73</v>
      </c>
    </row>
    <row r="9" spans="3:10" x14ac:dyDescent="0.35">
      <c r="C9" s="74" t="s">
        <v>57</v>
      </c>
      <c r="D9" s="74"/>
      <c r="E9" s="74"/>
      <c r="F9" s="74"/>
      <c r="G9" s="74"/>
      <c r="H9" s="74"/>
      <c r="I9" s="74"/>
      <c r="J9" s="74"/>
    </row>
    <row r="10" spans="3:10" x14ac:dyDescent="0.35">
      <c r="C10" s="18" t="s">
        <v>6</v>
      </c>
      <c r="D10" s="65"/>
      <c r="E10" s="65">
        <f>'3 Statement'!F9</f>
        <v>2026</v>
      </c>
      <c r="F10" s="66">
        <f>'3 Statement'!G9</f>
        <v>2027</v>
      </c>
      <c r="G10" s="66">
        <f>'3 Statement'!H9</f>
        <v>2028</v>
      </c>
      <c r="H10" s="66">
        <f>'3 Statement'!I9</f>
        <v>2029</v>
      </c>
      <c r="I10" s="66">
        <f>'3 Statement'!J9</f>
        <v>2030</v>
      </c>
      <c r="J10" s="66">
        <f>'3 Statement'!K9</f>
        <v>2031</v>
      </c>
    </row>
    <row r="11" spans="3:10" x14ac:dyDescent="0.35">
      <c r="C11" s="67" t="s">
        <v>7</v>
      </c>
      <c r="D11" s="68"/>
      <c r="E11" s="68">
        <f>'3 Statement'!F10</f>
        <v>46273</v>
      </c>
      <c r="F11" s="68">
        <f>'3 Statement'!G10</f>
        <v>46660</v>
      </c>
      <c r="G11" s="68">
        <f>'3 Statement'!H10</f>
        <v>47026</v>
      </c>
      <c r="H11" s="68">
        <f>'3 Statement'!I10</f>
        <v>47391</v>
      </c>
      <c r="I11" s="68">
        <f>'3 Statement'!J10</f>
        <v>47756</v>
      </c>
      <c r="J11" s="68">
        <f>'3 Statement'!K10</f>
        <v>48121</v>
      </c>
    </row>
    <row r="12" spans="3:10" x14ac:dyDescent="0.35">
      <c r="C12" s="10"/>
      <c r="F12" s="36"/>
      <c r="G12" s="36"/>
      <c r="H12" s="36"/>
      <c r="I12" s="36"/>
      <c r="J12" s="36"/>
    </row>
    <row r="13" spans="3:10" x14ac:dyDescent="0.35">
      <c r="C13" s="6" t="s">
        <v>8</v>
      </c>
      <c r="D13" s="37"/>
      <c r="E13" s="87">
        <f>'3 Statement'!F12</f>
        <v>185210</v>
      </c>
      <c r="F13" s="86">
        <f>'3 Statement'!G12</f>
        <v>226706</v>
      </c>
      <c r="G13" s="86">
        <f>'3 Statement'!H12</f>
        <v>277594.73799999995</v>
      </c>
      <c r="H13" s="86">
        <f>'3 Statement'!I12</f>
        <v>340023.07069999992</v>
      </c>
      <c r="I13" s="86">
        <f>'3 Statement'!J12</f>
        <v>416633.33484219993</v>
      </c>
      <c r="J13" s="86">
        <f>'3 Statement'!K12</f>
        <v>510678.86487166985</v>
      </c>
    </row>
    <row r="14" spans="3:10" x14ac:dyDescent="0.35">
      <c r="C14" s="23" t="s">
        <v>58</v>
      </c>
      <c r="E14" s="88">
        <f>'3 Statement'!F27</f>
        <v>0.27292096219931272</v>
      </c>
      <c r="F14" s="39">
        <f>'3 Statement'!G27</f>
        <v>0.22404837751741269</v>
      </c>
      <c r="G14" s="39">
        <f>'3 Statement'!H27</f>
        <v>0.22447018605594882</v>
      </c>
      <c r="H14" s="39">
        <f>'3 Statement'!I27</f>
        <v>0.22489018757985235</v>
      </c>
      <c r="I14" s="39">
        <f>'3 Statement'!J27</f>
        <v>0.22530901795717484</v>
      </c>
      <c r="J14" s="39">
        <f>'3 Statement'!K27</f>
        <v>0.22572732943966112</v>
      </c>
    </row>
    <row r="15" spans="3:10" x14ac:dyDescent="0.35">
      <c r="C15" s="6" t="s">
        <v>19</v>
      </c>
      <c r="D15" s="37"/>
      <c r="E15" s="87">
        <f>'3 Statement'!F24</f>
        <v>69210</v>
      </c>
      <c r="F15" s="86">
        <f>'3 Statement'!G24</f>
        <v>89355.002498833361</v>
      </c>
      <c r="G15" s="86">
        <f>'3 Statement'!H24</f>
        <v>120106.83491082487</v>
      </c>
      <c r="H15" s="86">
        <f>'3 Statement'!I24</f>
        <v>179636.24791755286</v>
      </c>
      <c r="I15" s="86">
        <f>'3 Statement'!J24</f>
        <v>253653.88104294881</v>
      </c>
      <c r="J15" s="86">
        <f>'3 Statement'!K24</f>
        <v>345483.33134090743</v>
      </c>
    </row>
    <row r="16" spans="3:10" x14ac:dyDescent="0.35">
      <c r="C16" s="23" t="s">
        <v>59</v>
      </c>
      <c r="E16" s="88">
        <f>'3 Statement'!F28</f>
        <v>0.5383618595108256</v>
      </c>
      <c r="F16" s="39">
        <f>'3 Statement'!G28</f>
        <v>0.55294026803213858</v>
      </c>
      <c r="G16" s="39">
        <f>'3 Statement'!H28</f>
        <v>0.5803892306739834</v>
      </c>
      <c r="H16" s="39">
        <f>'3 Statement'!I28</f>
        <v>0.64853012790423281</v>
      </c>
      <c r="I16" s="39">
        <f>'3 Statement'!J28</f>
        <v>0.70589489962329877</v>
      </c>
      <c r="J16" s="39">
        <f>'3 Statement'!K28</f>
        <v>0.75413097937565243</v>
      </c>
    </row>
    <row r="17" spans="3:11" x14ac:dyDescent="0.35">
      <c r="C17" s="6" t="s">
        <v>60</v>
      </c>
      <c r="E17" s="87">
        <f>'3 Statement'!F17</f>
        <v>65210</v>
      </c>
      <c r="F17" s="86">
        <f>'3 Statement'!G17</f>
        <v>84458.808988763703</v>
      </c>
      <c r="G17" s="86">
        <f>'3 Statement'!H17</f>
        <v>114111.59193258395</v>
      </c>
      <c r="H17" s="86">
        <f>'3 Statement'!I17</f>
        <v>172292.73362134854</v>
      </c>
      <c r="I17" s="86">
        <f>'3 Statement'!J17</f>
        <v>244655.80675231223</v>
      </c>
      <c r="J17" s="86">
        <f>'3 Statement'!K17</f>
        <v>334454.14577054582</v>
      </c>
    </row>
    <row r="18" spans="3:11" x14ac:dyDescent="0.35">
      <c r="C18" s="23" t="s">
        <v>59</v>
      </c>
      <c r="E18" s="89">
        <f t="shared" ref="E18:J18" si="0">E17/E13</f>
        <v>0.35208682036607097</v>
      </c>
      <c r="F18" s="39">
        <f>F17/F13</f>
        <v>0.37254774460651108</v>
      </c>
      <c r="G18" s="39">
        <f t="shared" si="0"/>
        <v>0.411072604454714</v>
      </c>
      <c r="H18" s="39">
        <f t="shared" si="0"/>
        <v>0.50670895144453676</v>
      </c>
      <c r="I18" s="39">
        <f t="shared" si="0"/>
        <v>0.58722091175199831</v>
      </c>
      <c r="J18" s="39">
        <f t="shared" si="0"/>
        <v>0.65492067280793353</v>
      </c>
    </row>
    <row r="19" spans="3:11" x14ac:dyDescent="0.35">
      <c r="C19" s="20"/>
      <c r="G19" s="38"/>
      <c r="H19" s="38"/>
      <c r="I19" s="38"/>
      <c r="J19" s="38"/>
    </row>
    <row r="20" spans="3:11" x14ac:dyDescent="0.35">
      <c r="C20" s="6" t="s">
        <v>61</v>
      </c>
      <c r="D20" s="37"/>
      <c r="E20" s="87">
        <f>E17*'3 Statement'!F31</f>
        <v>4694.3955562413212</v>
      </c>
      <c r="F20" s="86">
        <f>F17*'3 Statement'!G31</f>
        <v>6080.0959607772866</v>
      </c>
      <c r="G20" s="86">
        <f>G17*'3 Statement'!H31</f>
        <v>8214.7669082034208</v>
      </c>
      <c r="H20" s="86">
        <f>H17*'3 Statement'!I31</f>
        <v>12403.162752411106</v>
      </c>
      <c r="I20" s="86">
        <f>I17*'3 Statement'!J31</f>
        <v>17612.500107754789</v>
      </c>
      <c r="J20" s="86">
        <f>J17*'3 Statement'!K31</f>
        <v>24076.982911696632</v>
      </c>
    </row>
    <row r="21" spans="3:11" x14ac:dyDescent="0.35">
      <c r="C21" s="23" t="s">
        <v>25</v>
      </c>
      <c r="E21" s="90">
        <f>'3 Statement'!F31</f>
        <v>7.1988890603301964E-2</v>
      </c>
      <c r="F21" s="39">
        <f>'3 Statement'!G31</f>
        <v>7.1988890603301964E-2</v>
      </c>
      <c r="G21" s="39">
        <f>'3 Statement'!H31</f>
        <v>7.1988890603301964E-2</v>
      </c>
      <c r="H21" s="39">
        <f>'3 Statement'!I31</f>
        <v>7.1988890603301964E-2</v>
      </c>
      <c r="I21" s="39">
        <f>'3 Statement'!J31</f>
        <v>7.1988890603301964E-2</v>
      </c>
      <c r="J21" s="39">
        <f>'3 Statement'!K31</f>
        <v>7.1988890603301964E-2</v>
      </c>
    </row>
    <row r="22" spans="3:11" x14ac:dyDescent="0.35">
      <c r="C22" s="18" t="s">
        <v>62</v>
      </c>
      <c r="D22" s="33"/>
      <c r="E22" s="91">
        <f t="shared" ref="E22:J22" si="1">E17-E20</f>
        <v>60515.604443758682</v>
      </c>
      <c r="F22" s="47">
        <f t="shared" si="1"/>
        <v>78378.713027986421</v>
      </c>
      <c r="G22" s="47">
        <f t="shared" si="1"/>
        <v>105896.82502438052</v>
      </c>
      <c r="H22" s="47">
        <f t="shared" si="1"/>
        <v>159889.57086893744</v>
      </c>
      <c r="I22" s="47">
        <f t="shared" si="1"/>
        <v>227043.30664455745</v>
      </c>
      <c r="J22" s="47">
        <f t="shared" si="1"/>
        <v>310377.16285884916</v>
      </c>
    </row>
    <row r="23" spans="3:11" x14ac:dyDescent="0.35">
      <c r="G23" s="37"/>
      <c r="H23" s="37"/>
      <c r="I23" s="37"/>
      <c r="J23" s="37"/>
    </row>
    <row r="24" spans="3:11" x14ac:dyDescent="0.35">
      <c r="C24" s="6" t="s">
        <v>18</v>
      </c>
      <c r="F24" s="86">
        <f>'3 Statement'!G23</f>
        <v>4896.193510069651</v>
      </c>
      <c r="G24" s="86">
        <f>'3 Statement'!H23</f>
        <v>5995.2429782409145</v>
      </c>
      <c r="H24" s="86">
        <f>'3 Statement'!I23</f>
        <v>7343.5142962043064</v>
      </c>
      <c r="I24" s="86">
        <f>'3 Statement'!J23</f>
        <v>8998.0742906365722</v>
      </c>
      <c r="J24" s="86">
        <f>'3 Statement'!K23</f>
        <v>11029.185570361638</v>
      </c>
    </row>
    <row r="25" spans="3:11" x14ac:dyDescent="0.35">
      <c r="C25" s="6" t="s">
        <v>63</v>
      </c>
      <c r="F25" s="86">
        <f>'3 Statement'!G59+'3 Statement'!G60*-1</f>
        <v>-1387.5444060075106</v>
      </c>
      <c r="G25" s="86">
        <f>'3 Statement'!H59+'3 Statement'!H60*-1</f>
        <v>-1602.4512675588921</v>
      </c>
      <c r="H25" s="86">
        <f>'3 Statement'!I59+'3 Statement'!I60*-1</f>
        <v>-1769.114916336177</v>
      </c>
      <c r="I25" s="86">
        <f>'3 Statement'!J59+'3 Statement'!J60*-1</f>
        <v>-1969.1399833076093</v>
      </c>
      <c r="J25" s="86">
        <f>'3 Statement'!K59+'3 Statement'!K60*-1</f>
        <v>-2217.4162461409596</v>
      </c>
    </row>
    <row r="26" spans="3:11" x14ac:dyDescent="0.35">
      <c r="C26" s="6" t="s">
        <v>45</v>
      </c>
      <c r="F26" s="86">
        <f>'3 Statement'!G73</f>
        <v>15055.795043464175</v>
      </c>
      <c r="G26" s="86">
        <f>'3 Statement'!H73</f>
        <v>18435.37215809081</v>
      </c>
      <c r="H26" s="86">
        <f>'3 Statement'!I73</f>
        <v>22581.30646082824</v>
      </c>
      <c r="I26" s="86">
        <f>'3 Statement'!J73</f>
        <v>27669.078443707458</v>
      </c>
      <c r="J26" s="86">
        <f>'3 Statement'!K73</f>
        <v>33914.745628862038</v>
      </c>
    </row>
    <row r="27" spans="3:11" x14ac:dyDescent="0.35">
      <c r="C27" s="23" t="s">
        <v>64</v>
      </c>
      <c r="F27" s="39">
        <f>F26/F13</f>
        <v>6.6411100912477719E-2</v>
      </c>
      <c r="G27" s="39">
        <f t="shared" ref="G27:J27" si="2">G26/G13</f>
        <v>6.6411100912477719E-2</v>
      </c>
      <c r="H27" s="39">
        <f t="shared" si="2"/>
        <v>6.6411100912477719E-2</v>
      </c>
      <c r="I27" s="39">
        <f t="shared" si="2"/>
        <v>6.6411100912477719E-2</v>
      </c>
      <c r="J27" s="39">
        <f t="shared" si="2"/>
        <v>6.6411100912477719E-2</v>
      </c>
    </row>
    <row r="28" spans="3:11" x14ac:dyDescent="0.35">
      <c r="E28" s="40"/>
      <c r="F28" s="24"/>
      <c r="G28" s="24"/>
      <c r="H28" s="24"/>
      <c r="I28" s="24"/>
      <c r="J28" s="24"/>
    </row>
    <row r="29" spans="3:11" x14ac:dyDescent="0.35">
      <c r="C29" s="18" t="s">
        <v>65</v>
      </c>
      <c r="D29" s="33"/>
      <c r="E29" s="47">
        <f t="shared" ref="E29:J29" si="3">E22+E24+E25-E26</f>
        <v>60515.604443758682</v>
      </c>
      <c r="F29" s="47">
        <f t="shared" si="3"/>
        <v>66831.567088584387</v>
      </c>
      <c r="G29" s="47">
        <f t="shared" si="3"/>
        <v>91854.244576971745</v>
      </c>
      <c r="H29" s="47">
        <f t="shared" si="3"/>
        <v>142882.66378797736</v>
      </c>
      <c r="I29" s="47">
        <f t="shared" si="3"/>
        <v>206403.16250817897</v>
      </c>
      <c r="J29" s="47">
        <f t="shared" si="3"/>
        <v>285274.18655420776</v>
      </c>
    </row>
    <row r="30" spans="3:11" x14ac:dyDescent="0.35">
      <c r="E30" s="38"/>
      <c r="F30" s="41"/>
      <c r="G30" s="41"/>
      <c r="H30" s="41"/>
      <c r="I30" s="41"/>
      <c r="J30" s="41"/>
      <c r="K30" s="38"/>
    </row>
    <row r="31" spans="3:11" x14ac:dyDescent="0.35">
      <c r="C31" s="92" t="s">
        <v>106</v>
      </c>
      <c r="D31" s="92"/>
      <c r="E31" s="92"/>
      <c r="F31" s="92"/>
      <c r="G31" s="92"/>
      <c r="H31" s="92"/>
      <c r="I31" s="92"/>
      <c r="J31" s="92"/>
      <c r="K31" s="38"/>
    </row>
    <row r="32" spans="3:11" x14ac:dyDescent="0.35">
      <c r="C32" s="33"/>
      <c r="E32" s="93" t="s">
        <v>66</v>
      </c>
      <c r="F32" s="93" t="s">
        <v>67</v>
      </c>
      <c r="G32" s="91" t="s">
        <v>68</v>
      </c>
      <c r="H32" s="91" t="s">
        <v>69</v>
      </c>
      <c r="I32" s="91" t="s">
        <v>70</v>
      </c>
      <c r="J32" s="91" t="s">
        <v>71</v>
      </c>
      <c r="K32" s="38"/>
    </row>
    <row r="33" spans="3:11" x14ac:dyDescent="0.35">
      <c r="C33" s="71" t="s">
        <v>72</v>
      </c>
      <c r="D33" s="42"/>
      <c r="E33" s="72">
        <f t="shared" ref="E33:J33" si="4">E11</f>
        <v>46273</v>
      </c>
      <c r="F33" s="72">
        <f t="shared" si="4"/>
        <v>46660</v>
      </c>
      <c r="G33" s="72">
        <f t="shared" si="4"/>
        <v>47026</v>
      </c>
      <c r="H33" s="72">
        <f t="shared" si="4"/>
        <v>47391</v>
      </c>
      <c r="I33" s="72">
        <f t="shared" si="4"/>
        <v>47756</v>
      </c>
      <c r="J33" s="72">
        <f t="shared" si="4"/>
        <v>48121</v>
      </c>
      <c r="K33" s="38"/>
    </row>
    <row r="34" spans="3:11" x14ac:dyDescent="0.35">
      <c r="C34" s="6" t="s">
        <v>73</v>
      </c>
      <c r="D34" s="43">
        <f>E7</f>
        <v>0.73</v>
      </c>
      <c r="E34" s="44"/>
      <c r="F34" s="45">
        <f>F29*D34</f>
        <v>48787.043974666602</v>
      </c>
      <c r="G34" s="45">
        <f>G29</f>
        <v>91854.244576971745</v>
      </c>
      <c r="H34" s="45">
        <f>H29</f>
        <v>142882.66378797736</v>
      </c>
      <c r="I34" s="45">
        <f>I29</f>
        <v>206403.16250817897</v>
      </c>
      <c r="J34" s="45">
        <f>J29</f>
        <v>285274.18655420776</v>
      </c>
      <c r="K34" s="37"/>
    </row>
    <row r="35" spans="3:11" x14ac:dyDescent="0.35">
      <c r="C35" s="18" t="s">
        <v>74</v>
      </c>
      <c r="D35" s="46"/>
      <c r="F35" s="47">
        <f>F34/(1+$E$6)^((F33-$E$33)/365)</f>
        <v>44097.799458904599</v>
      </c>
      <c r="G35" s="47">
        <f>G34/(1+$E$6)^((G33-$E$33)/365)</f>
        <v>75458.045728567769</v>
      </c>
      <c r="H35" s="47">
        <f>H34/(1+$E$6)^((H33-$E$33)/365)</f>
        <v>106707.06546191625</v>
      </c>
      <c r="I35" s="47">
        <f>I34/(1+$E$6)^((I33-$E$33)/365)</f>
        <v>140131.99355590926</v>
      </c>
      <c r="J35" s="47">
        <f>J34/(1+$E$6)^((J33-$E$33)/365)</f>
        <v>176072.18093374724</v>
      </c>
      <c r="K35" s="37"/>
    </row>
    <row r="37" spans="3:11" x14ac:dyDescent="0.35">
      <c r="C37" s="33" t="s">
        <v>75</v>
      </c>
      <c r="D37" s="33"/>
      <c r="E37" s="33"/>
      <c r="F37" s="33"/>
      <c r="G37" s="33"/>
      <c r="H37" s="33"/>
      <c r="I37" s="33"/>
      <c r="J37" s="33"/>
    </row>
    <row r="38" spans="3:11" x14ac:dyDescent="0.35">
      <c r="C38" s="6" t="s">
        <v>76</v>
      </c>
      <c r="D38" s="39">
        <v>0.03</v>
      </c>
    </row>
    <row r="39" spans="3:11" x14ac:dyDescent="0.35">
      <c r="C39" s="48" t="str">
        <f>YEAR(J11)&amp;" FCF x (1+g)"</f>
        <v>2031 FCF x (1+g)</v>
      </c>
      <c r="D39" s="49">
        <f>J29*(1+D38)</f>
        <v>293832.41215083399</v>
      </c>
    </row>
    <row r="40" spans="3:11" x14ac:dyDescent="0.35">
      <c r="C40" s="6" t="str">
        <f>"Terminal value in "&amp;YEAR(J11)</f>
        <v>Terminal value in 2031</v>
      </c>
      <c r="D40" s="49">
        <f>D39/(E6-D38)</f>
        <v>4197605.8878690563</v>
      </c>
    </row>
    <row r="41" spans="3:11" x14ac:dyDescent="0.35">
      <c r="C41" s="6" t="s">
        <v>77</v>
      </c>
      <c r="D41" s="49">
        <f>D40/((1+E6)^((J33-E33)/365))</f>
        <v>2590776.3765965663</v>
      </c>
    </row>
    <row r="42" spans="3:11" x14ac:dyDescent="0.35">
      <c r="C42" s="6" t="s">
        <v>78</v>
      </c>
      <c r="D42" s="49">
        <f>SUM(F35:J35)</f>
        <v>542467.08513904514</v>
      </c>
    </row>
    <row r="43" spans="3:11" x14ac:dyDescent="0.35">
      <c r="C43" s="18" t="s">
        <v>79</v>
      </c>
      <c r="D43" s="47">
        <f>D41+D42</f>
        <v>3133243.4617356113</v>
      </c>
    </row>
    <row r="44" spans="3:11" ht="15" thickBot="1" x14ac:dyDescent="0.4"/>
    <row r="45" spans="3:11" ht="19" thickBot="1" x14ac:dyDescent="0.5">
      <c r="C45" s="1"/>
      <c r="D45" s="2"/>
      <c r="E45" s="2"/>
      <c r="F45" s="2"/>
      <c r="G45" s="2"/>
      <c r="H45" s="2"/>
      <c r="I45" s="2"/>
      <c r="J45" s="34" t="s">
        <v>0</v>
      </c>
    </row>
    <row r="46" spans="3:11" x14ac:dyDescent="0.35">
      <c r="D46" s="44"/>
      <c r="E46" s="44"/>
    </row>
    <row r="48" spans="3:11" x14ac:dyDescent="0.35">
      <c r="F48" s="50"/>
      <c r="G48" s="50"/>
      <c r="H48" s="50"/>
    </row>
    <row r="49" spans="3:8" x14ac:dyDescent="0.35">
      <c r="F49" s="50"/>
      <c r="G49" s="50"/>
      <c r="H49" s="50"/>
    </row>
    <row r="50" spans="3:8" x14ac:dyDescent="0.35">
      <c r="F50" s="50"/>
      <c r="G50" s="50"/>
      <c r="H50" s="50"/>
    </row>
    <row r="51" spans="3:8" x14ac:dyDescent="0.35">
      <c r="C51" s="50"/>
      <c r="D51" s="50"/>
      <c r="E51" s="50"/>
      <c r="F51" s="50"/>
      <c r="G51" s="50"/>
      <c r="H51" s="50"/>
    </row>
    <row r="52" spans="3:8" x14ac:dyDescent="0.35">
      <c r="C52" s="50"/>
      <c r="D52" s="50"/>
      <c r="E52" s="50"/>
      <c r="F52" s="50"/>
      <c r="G52" s="50"/>
      <c r="H52" s="50"/>
    </row>
    <row r="53" spans="3:8" x14ac:dyDescent="0.35">
      <c r="C53" s="50"/>
      <c r="D53" s="50"/>
      <c r="E53" s="50"/>
      <c r="F53" s="50"/>
      <c r="G53" s="50"/>
      <c r="H53" s="50"/>
    </row>
    <row r="54" spans="3:8" x14ac:dyDescent="0.35">
      <c r="C54" s="50"/>
      <c r="D54" s="50"/>
      <c r="E54" s="50"/>
      <c r="F54" s="50"/>
      <c r="G54" s="50"/>
      <c r="H54" s="50"/>
    </row>
    <row r="55" spans="3:8" x14ac:dyDescent="0.35">
      <c r="C55" s="50"/>
      <c r="D55" s="50"/>
      <c r="E55" s="50"/>
      <c r="F55" s="50"/>
      <c r="G55" s="50"/>
      <c r="H55" s="50"/>
    </row>
    <row r="56" spans="3:8" x14ac:dyDescent="0.35">
      <c r="C56" s="50"/>
      <c r="D56" s="50"/>
      <c r="E56" s="50"/>
      <c r="F56" s="50"/>
      <c r="G56" s="50"/>
      <c r="H56" s="50"/>
    </row>
    <row r="57" spans="3:8" x14ac:dyDescent="0.35">
      <c r="C57" s="50"/>
      <c r="D57" s="50"/>
      <c r="E57" s="50"/>
      <c r="F57" s="50"/>
      <c r="G57" s="50"/>
      <c r="H57" s="50"/>
    </row>
    <row r="58" spans="3:8" x14ac:dyDescent="0.35">
      <c r="C58" s="50"/>
      <c r="D58" s="50"/>
      <c r="E58" s="50"/>
      <c r="F58" s="50"/>
      <c r="G58" s="50"/>
      <c r="H58" s="50"/>
    </row>
    <row r="59" spans="3:8" x14ac:dyDescent="0.35">
      <c r="C59" s="50"/>
      <c r="D59" s="50"/>
      <c r="E59" s="50"/>
      <c r="F59" s="50"/>
      <c r="G59" s="50"/>
      <c r="H59" s="50"/>
    </row>
    <row r="60" spans="3:8" x14ac:dyDescent="0.35">
      <c r="C60" s="50"/>
      <c r="D60" s="50"/>
      <c r="E60" s="50"/>
      <c r="F60" s="50"/>
      <c r="G60" s="50"/>
      <c r="H60" s="50"/>
    </row>
    <row r="61" spans="3:8" x14ac:dyDescent="0.35">
      <c r="C61" s="50"/>
      <c r="D61" s="50"/>
      <c r="E61" s="50"/>
      <c r="F61" s="50"/>
      <c r="G61" s="50"/>
      <c r="H61" s="50"/>
    </row>
    <row r="62" spans="3:8" x14ac:dyDescent="0.35">
      <c r="C62" s="50"/>
      <c r="D62" s="50"/>
      <c r="E62" s="50"/>
      <c r="F62" s="50"/>
      <c r="G62" s="50"/>
      <c r="H62" s="50"/>
    </row>
    <row r="63" spans="3:8" x14ac:dyDescent="0.35">
      <c r="C63" s="50"/>
      <c r="D63" s="50"/>
      <c r="E63" s="50"/>
      <c r="F63" s="50"/>
      <c r="G63" s="50"/>
      <c r="H63" s="50"/>
    </row>
    <row r="64" spans="3:8" x14ac:dyDescent="0.35">
      <c r="C64" s="50"/>
      <c r="D64" s="50"/>
      <c r="E64" s="50"/>
      <c r="F64" s="50"/>
      <c r="G64" s="50"/>
      <c r="H64" s="50"/>
    </row>
    <row r="65" spans="3:9" x14ac:dyDescent="0.35">
      <c r="C65" s="50"/>
      <c r="D65" s="50"/>
      <c r="E65" s="50"/>
      <c r="F65" s="50"/>
      <c r="G65" s="50"/>
      <c r="H65" s="50"/>
    </row>
    <row r="66" spans="3:9" x14ac:dyDescent="0.35">
      <c r="C66" s="50"/>
      <c r="D66" s="50"/>
      <c r="E66" s="50"/>
      <c r="F66" s="50"/>
      <c r="G66" s="50"/>
      <c r="H66" s="50"/>
    </row>
    <row r="67" spans="3:9" x14ac:dyDescent="0.35">
      <c r="C67" s="50"/>
      <c r="D67" s="50"/>
      <c r="E67" s="50"/>
      <c r="F67" s="50"/>
      <c r="G67" s="50"/>
      <c r="H67" s="50"/>
    </row>
    <row r="68" spans="3:9" x14ac:dyDescent="0.35">
      <c r="C68" s="50"/>
      <c r="D68" s="50"/>
      <c r="E68" s="50"/>
      <c r="F68" s="50"/>
      <c r="G68" s="50"/>
      <c r="H68" s="50"/>
    </row>
    <row r="69" spans="3:9" x14ac:dyDescent="0.35">
      <c r="C69" s="50"/>
      <c r="D69" s="50"/>
      <c r="E69" s="50"/>
      <c r="F69" s="50"/>
      <c r="G69" s="50"/>
      <c r="H69" s="50"/>
    </row>
    <row r="70" spans="3:9" x14ac:dyDescent="0.35">
      <c r="C70" s="50"/>
      <c r="D70" s="50"/>
      <c r="E70" s="50"/>
      <c r="F70" s="50"/>
      <c r="G70" s="50"/>
      <c r="H70" s="50"/>
    </row>
    <row r="71" spans="3:9" x14ac:dyDescent="0.35">
      <c r="C71" s="50"/>
      <c r="D71" s="50"/>
      <c r="E71" s="50"/>
      <c r="F71" s="50"/>
      <c r="G71" s="50"/>
      <c r="H71" s="50"/>
    </row>
    <row r="72" spans="3:9" x14ac:dyDescent="0.35">
      <c r="C72" s="50"/>
      <c r="D72" s="50"/>
      <c r="E72" s="50"/>
      <c r="F72" s="50"/>
      <c r="G72" s="50"/>
      <c r="H72" s="50"/>
    </row>
    <row r="73" spans="3:9" x14ac:dyDescent="0.35">
      <c r="C73" s="50"/>
      <c r="D73" s="50"/>
      <c r="E73" s="50"/>
      <c r="F73" s="50"/>
      <c r="G73" s="50"/>
      <c r="H73" s="50"/>
      <c r="I73" s="51"/>
    </row>
    <row r="74" spans="3:9" x14ac:dyDescent="0.35">
      <c r="C74" s="50"/>
      <c r="D74" s="50"/>
      <c r="E74" s="50"/>
      <c r="F74" s="50"/>
      <c r="G74" s="50"/>
      <c r="H74" s="50"/>
    </row>
    <row r="75" spans="3:9" x14ac:dyDescent="0.35">
      <c r="C75" s="50"/>
      <c r="D75" s="50"/>
      <c r="E75" s="50"/>
      <c r="F75" s="50"/>
      <c r="G75" s="50"/>
      <c r="H75" s="50"/>
    </row>
    <row r="76" spans="3:9" x14ac:dyDescent="0.35">
      <c r="C76" s="50"/>
      <c r="D76" s="50"/>
      <c r="E76" s="50"/>
      <c r="F76" s="50"/>
      <c r="G76" s="50"/>
      <c r="H76" s="50"/>
    </row>
    <row r="77" spans="3:9" x14ac:dyDescent="0.35">
      <c r="C77" s="50"/>
      <c r="D77" s="50"/>
      <c r="E77" s="50"/>
      <c r="F77" s="50"/>
      <c r="G77" s="50"/>
      <c r="H77" s="50"/>
    </row>
    <row r="78" spans="3:9" x14ac:dyDescent="0.35">
      <c r="C78" s="50"/>
      <c r="D78" s="50"/>
      <c r="E78" s="50"/>
      <c r="F78" s="50"/>
      <c r="G78" s="50"/>
      <c r="H78" s="50"/>
    </row>
    <row r="79" spans="3:9" x14ac:dyDescent="0.35">
      <c r="C79" s="50"/>
      <c r="D79" s="50"/>
      <c r="E79" s="50"/>
      <c r="F79" s="50"/>
      <c r="G79" s="50"/>
      <c r="H79" s="50"/>
    </row>
    <row r="80" spans="3:9" x14ac:dyDescent="0.35">
      <c r="C80" s="50"/>
      <c r="D80" s="50"/>
      <c r="E80" s="50"/>
      <c r="F80" s="50"/>
      <c r="G80" s="50"/>
      <c r="H80" s="50"/>
    </row>
    <row r="81" spans="3:8" x14ac:dyDescent="0.35">
      <c r="C81" s="50"/>
      <c r="D81" s="50"/>
      <c r="E81" s="50"/>
      <c r="F81" s="50"/>
      <c r="G81" s="50"/>
      <c r="H81" s="50"/>
    </row>
    <row r="82" spans="3:8" x14ac:dyDescent="0.35">
      <c r="C82" s="50"/>
      <c r="D82" s="50"/>
      <c r="E82" s="50"/>
      <c r="F82" s="50"/>
      <c r="G82" s="50"/>
      <c r="H82" s="50"/>
    </row>
    <row r="83" spans="3:8" x14ac:dyDescent="0.35">
      <c r="C83" s="50"/>
      <c r="D83" s="50"/>
      <c r="E83" s="50"/>
      <c r="F83" s="50"/>
      <c r="G83" s="50"/>
      <c r="H83" s="50"/>
    </row>
    <row r="84" spans="3:8" x14ac:dyDescent="0.35">
      <c r="C84" s="50"/>
      <c r="D84" s="50"/>
      <c r="E84" s="50"/>
      <c r="F84" s="50"/>
      <c r="G84" s="50"/>
      <c r="H84" s="50"/>
    </row>
    <row r="85" spans="3:8" x14ac:dyDescent="0.35">
      <c r="C85" s="50"/>
      <c r="D85" s="50"/>
      <c r="E85" s="50"/>
      <c r="F85" s="50"/>
      <c r="G85" s="50"/>
      <c r="H85" s="50"/>
    </row>
    <row r="86" spans="3:8" x14ac:dyDescent="0.35">
      <c r="C86" s="50"/>
      <c r="D86" s="50"/>
      <c r="E86" s="50"/>
      <c r="F86" s="50"/>
      <c r="G86" s="50"/>
      <c r="H86" s="50"/>
    </row>
    <row r="87" spans="3:8" x14ac:dyDescent="0.35">
      <c r="C87" s="50"/>
      <c r="D87" s="50"/>
      <c r="E87" s="50"/>
      <c r="F87" s="50"/>
      <c r="G87" s="50"/>
      <c r="H87" s="50"/>
    </row>
    <row r="88" spans="3:8" x14ac:dyDescent="0.35">
      <c r="C88" s="50"/>
      <c r="D88" s="50"/>
      <c r="E88" s="50"/>
      <c r="F88" s="50"/>
      <c r="G88" s="50"/>
      <c r="H88" s="50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 Statement</vt:lpstr>
      <vt:lpstr>Scenario</vt:lpstr>
      <vt:lpstr>Rev build</vt:lpstr>
      <vt:lpstr>DCF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Jourdan</dc:creator>
  <dc:description/>
  <cp:lastModifiedBy>Eduardo Jourdan</cp:lastModifiedBy>
  <cp:revision>1</cp:revision>
  <dcterms:created xsi:type="dcterms:W3CDTF">2026-06-29T10:43:51Z</dcterms:created>
  <dcterms:modified xsi:type="dcterms:W3CDTF">2026-10-08T20:34:48Z</dcterms:modified>
  <dc:language>en-US</dc:language>
</cp:coreProperties>
</file>