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d.docs.live.net/152f2b7d0a2c4423/Dokumente/Dokumente/Finanzen Eduardo/Business/10 unternehmen/"/>
    </mc:Choice>
  </mc:AlternateContent>
  <xr:revisionPtr revIDLastSave="132" documentId="11_61A181640C263E50C1FE5F1379F025DEBA8D110F" xr6:coauthVersionLast="47" xr6:coauthVersionMax="47" xr10:uidLastSave="{B105181E-FAE4-4A08-975C-78990492C5EF}"/>
  <bookViews>
    <workbookView xWindow="-110" yWindow="-110" windowWidth="19420" windowHeight="10300" tabRatio="500" activeTab="4" xr2:uid="{00000000-000D-0000-FFFF-FFFF00000000}"/>
  </bookViews>
  <sheets>
    <sheet name="Summary" sheetId="7" r:id="rId1"/>
    <sheet name="3-Statement" sheetId="1" r:id="rId2"/>
    <sheet name="Scenario" sheetId="2" r:id="rId3"/>
    <sheet name="Revenue Build" sheetId="3" r:id="rId4"/>
    <sheet name="DCF" sheetId="4" r:id="rId5"/>
    <sheet name="WACC" sheetId="5" r:id="rId6"/>
  </sheets>
  <definedNames>
    <definedName name="_xlnm.Print_Area" localSheetId="0">Summary!$B$1:$I$53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1" l="1"/>
  <c r="D55" i="4"/>
  <c r="D52" i="4"/>
  <c r="D53" i="4"/>
  <c r="D57" i="4"/>
  <c r="D72" i="4"/>
  <c r="D20" i="5"/>
  <c r="E20" i="5" s="1"/>
  <c r="D19" i="5"/>
  <c r="E19" i="5" s="1"/>
  <c r="D14" i="5"/>
  <c r="C3" i="5"/>
  <c r="E21" i="4"/>
  <c r="E14" i="4"/>
  <c r="I7" i="4"/>
  <c r="E7" i="4"/>
  <c r="E34" i="4" s="1"/>
  <c r="I6" i="4"/>
  <c r="E5" i="4"/>
  <c r="C3" i="4"/>
  <c r="H44" i="3"/>
  <c r="I44" i="3" s="1"/>
  <c r="J44" i="3" s="1"/>
  <c r="K44" i="3" s="1"/>
  <c r="G44" i="3"/>
  <c r="F44" i="3"/>
  <c r="E44" i="3"/>
  <c r="F42" i="3"/>
  <c r="E42" i="3"/>
  <c r="F41" i="3"/>
  <c r="G41" i="3" s="1"/>
  <c r="E41" i="3"/>
  <c r="G40" i="3"/>
  <c r="H40" i="3" s="1"/>
  <c r="I40" i="3" s="1"/>
  <c r="J40" i="3" s="1"/>
  <c r="K40" i="3" s="1"/>
  <c r="F40" i="3"/>
  <c r="E40" i="3"/>
  <c r="F37" i="3"/>
  <c r="E37" i="3"/>
  <c r="F36" i="3"/>
  <c r="E36" i="3"/>
  <c r="F33" i="3"/>
  <c r="E33" i="3"/>
  <c r="F32" i="3"/>
  <c r="G32" i="3" s="1"/>
  <c r="E32" i="3"/>
  <c r="F31" i="3"/>
  <c r="E31" i="3"/>
  <c r="F30" i="3"/>
  <c r="E30" i="3"/>
  <c r="F27" i="3"/>
  <c r="F26" i="3"/>
  <c r="E26" i="3"/>
  <c r="E27" i="3" s="1"/>
  <c r="D26" i="3"/>
  <c r="G24" i="3"/>
  <c r="C3" i="3"/>
  <c r="J44" i="2"/>
  <c r="I44" i="2"/>
  <c r="H44" i="2"/>
  <c r="G44" i="2"/>
  <c r="F44" i="2"/>
  <c r="J42" i="2"/>
  <c r="I42" i="2"/>
  <c r="H42" i="2"/>
  <c r="G42" i="2"/>
  <c r="F42" i="2"/>
  <c r="J14" i="2"/>
  <c r="I14" i="2"/>
  <c r="H14" i="2"/>
  <c r="G14" i="2"/>
  <c r="F14" i="2"/>
  <c r="D48" i="3" s="1"/>
  <c r="C11" i="2"/>
  <c r="C3" i="2"/>
  <c r="F118" i="1"/>
  <c r="E118" i="1"/>
  <c r="G117" i="1"/>
  <c r="H117" i="1" s="1"/>
  <c r="H116" i="1"/>
  <c r="H86" i="1" s="1"/>
  <c r="G116" i="1"/>
  <c r="G114" i="1"/>
  <c r="F111" i="1"/>
  <c r="E111" i="1"/>
  <c r="G108" i="1"/>
  <c r="F105" i="1"/>
  <c r="E105" i="1"/>
  <c r="D105" i="1"/>
  <c r="F103" i="1"/>
  <c r="F104" i="1" s="1"/>
  <c r="G104" i="1" s="1"/>
  <c r="E103" i="1"/>
  <c r="E104" i="1" s="1"/>
  <c r="D103" i="1"/>
  <c r="D104" i="1" s="1"/>
  <c r="G100" i="1"/>
  <c r="H100" i="1" s="1"/>
  <c r="F100" i="1"/>
  <c r="E100" i="1"/>
  <c r="D100" i="1"/>
  <c r="F98" i="1"/>
  <c r="G95" i="1" s="1"/>
  <c r="E98" i="1"/>
  <c r="F95" i="1"/>
  <c r="C93" i="1"/>
  <c r="C92" i="1"/>
  <c r="G86" i="1"/>
  <c r="G85" i="1"/>
  <c r="K84" i="1"/>
  <c r="J84" i="1"/>
  <c r="I84" i="1"/>
  <c r="H84" i="1"/>
  <c r="G84" i="1"/>
  <c r="C69" i="1"/>
  <c r="C68" i="1"/>
  <c r="F63" i="1"/>
  <c r="E63" i="1"/>
  <c r="F58" i="1"/>
  <c r="E58" i="1"/>
  <c r="I56" i="1"/>
  <c r="I83" i="1" s="1"/>
  <c r="H56" i="1"/>
  <c r="H83" i="1" s="1"/>
  <c r="G56" i="1"/>
  <c r="G83" i="1" s="1"/>
  <c r="G87" i="1" s="1"/>
  <c r="F50" i="1"/>
  <c r="F65" i="1" s="1"/>
  <c r="E50" i="1"/>
  <c r="E65" i="1" s="1"/>
  <c r="C43" i="1"/>
  <c r="C42" i="1"/>
  <c r="F38" i="1"/>
  <c r="G38" i="1" s="1"/>
  <c r="H38" i="1" s="1"/>
  <c r="I38" i="1" s="1"/>
  <c r="J38" i="1" s="1"/>
  <c r="K38" i="1" s="1"/>
  <c r="E38" i="1"/>
  <c r="D38" i="1"/>
  <c r="F37" i="1"/>
  <c r="G37" i="1" s="1"/>
  <c r="H37" i="1" s="1"/>
  <c r="I37" i="1" s="1"/>
  <c r="J37" i="1" s="1"/>
  <c r="K37" i="1" s="1"/>
  <c r="E37" i="1"/>
  <c r="D37" i="1"/>
  <c r="F35" i="1"/>
  <c r="E15" i="4" s="1"/>
  <c r="E35" i="1"/>
  <c r="D30" i="1"/>
  <c r="D32" i="1" s="1"/>
  <c r="F25" i="1"/>
  <c r="F39" i="1" s="1"/>
  <c r="D25" i="1"/>
  <c r="D39" i="1" s="1"/>
  <c r="H24" i="1"/>
  <c r="I24" i="1" s="1"/>
  <c r="J24" i="1" s="1"/>
  <c r="K24" i="1" s="1"/>
  <c r="G24" i="1"/>
  <c r="G23" i="1"/>
  <c r="H23" i="1" s="1"/>
  <c r="I23" i="1" s="1"/>
  <c r="J23" i="1" s="1"/>
  <c r="K23" i="1" s="1"/>
  <c r="F21" i="1"/>
  <c r="E18" i="4" s="1"/>
  <c r="E21" i="1"/>
  <c r="E30" i="1" s="1"/>
  <c r="E32" i="1" s="1"/>
  <c r="D21" i="1"/>
  <c r="F18" i="1"/>
  <c r="F36" i="1" s="1"/>
  <c r="G36" i="1" s="1"/>
  <c r="H36" i="1" s="1"/>
  <c r="I36" i="1" s="1"/>
  <c r="J36" i="1" s="1"/>
  <c r="K36" i="1" s="1"/>
  <c r="E18" i="1"/>
  <c r="E36" i="1" s="1"/>
  <c r="D18" i="1"/>
  <c r="D36" i="1" s="1"/>
  <c r="F14" i="1"/>
  <c r="F93" i="1" s="1"/>
  <c r="E14" i="1"/>
  <c r="E43" i="1" s="1"/>
  <c r="F13" i="1"/>
  <c r="G13" i="1" s="1"/>
  <c r="F43" i="1" l="1"/>
  <c r="F92" i="1"/>
  <c r="G36" i="3"/>
  <c r="G30" i="3"/>
  <c r="G31" i="3"/>
  <c r="G42" i="3"/>
  <c r="G21" i="3"/>
  <c r="H41" i="3"/>
  <c r="G33" i="3"/>
  <c r="G39" i="1"/>
  <c r="E22" i="4"/>
  <c r="H32" i="3"/>
  <c r="I32" i="3" s="1"/>
  <c r="J32" i="3" s="1"/>
  <c r="K32" i="3" s="1"/>
  <c r="G12" i="3"/>
  <c r="I100" i="1"/>
  <c r="F11" i="4"/>
  <c r="H13" i="1"/>
  <c r="G6" i="3"/>
  <c r="G42" i="1"/>
  <c r="F5" i="2" s="1"/>
  <c r="G68" i="1"/>
  <c r="G92" i="1"/>
  <c r="I117" i="1"/>
  <c r="H85" i="1"/>
  <c r="H87" i="1" s="1"/>
  <c r="G37" i="3"/>
  <c r="E23" i="4"/>
  <c r="E19" i="4"/>
  <c r="H104" i="1"/>
  <c r="D14" i="1"/>
  <c r="E25" i="1"/>
  <c r="D27" i="1"/>
  <c r="D115" i="1" s="1"/>
  <c r="J56" i="1"/>
  <c r="I116" i="1"/>
  <c r="E7" i="3"/>
  <c r="F7" i="3"/>
  <c r="G20" i="3"/>
  <c r="H20" i="3" s="1"/>
  <c r="I20" i="3" s="1"/>
  <c r="J20" i="3" s="1"/>
  <c r="K20" i="3" s="1"/>
  <c r="E12" i="4"/>
  <c r="G14" i="1"/>
  <c r="F30" i="1"/>
  <c r="F42" i="1"/>
  <c r="E13" i="1"/>
  <c r="F6" i="3"/>
  <c r="H24" i="3"/>
  <c r="I24" i="3" s="1"/>
  <c r="J24" i="3" s="1"/>
  <c r="K24" i="3" s="1"/>
  <c r="F27" i="1"/>
  <c r="F115" i="1" s="1"/>
  <c r="E11" i="4"/>
  <c r="D39" i="4"/>
  <c r="E93" i="1"/>
  <c r="I41" i="3" l="1"/>
  <c r="J41" i="3" s="1"/>
  <c r="K41" i="3" s="1"/>
  <c r="H21" i="3"/>
  <c r="I21" i="3" s="1"/>
  <c r="H12" i="3"/>
  <c r="I12" i="3" s="1"/>
  <c r="J12" i="3" s="1"/>
  <c r="K12" i="3" s="1"/>
  <c r="J83" i="1"/>
  <c r="K56" i="1"/>
  <c r="K83" i="1" s="1"/>
  <c r="D7" i="3"/>
  <c r="D93" i="1"/>
  <c r="J117" i="1"/>
  <c r="I85" i="1"/>
  <c r="I87" i="1" s="1"/>
  <c r="H39" i="1"/>
  <c r="F22" i="4"/>
  <c r="I104" i="1"/>
  <c r="G13" i="3"/>
  <c r="H33" i="3"/>
  <c r="I33" i="3" s="1"/>
  <c r="J33" i="3" s="1"/>
  <c r="K33" i="3" s="1"/>
  <c r="H42" i="3"/>
  <c r="I42" i="3" s="1"/>
  <c r="J42" i="3" s="1"/>
  <c r="K42" i="3" s="1"/>
  <c r="G22" i="3"/>
  <c r="H22" i="3" s="1"/>
  <c r="I22" i="3" s="1"/>
  <c r="J22" i="3" s="1"/>
  <c r="K22" i="3" s="1"/>
  <c r="E42" i="1"/>
  <c r="E6" i="3"/>
  <c r="D13" i="1"/>
  <c r="E92" i="1"/>
  <c r="E27" i="1"/>
  <c r="E115" i="1" s="1"/>
  <c r="E39" i="1"/>
  <c r="E16" i="4"/>
  <c r="E17" i="4" s="1"/>
  <c r="F32" i="1"/>
  <c r="G11" i="4"/>
  <c r="I13" i="1"/>
  <c r="H6" i="3"/>
  <c r="H42" i="1"/>
  <c r="G5" i="2" s="1"/>
  <c r="H68" i="1"/>
  <c r="H92" i="1"/>
  <c r="H31" i="3"/>
  <c r="I31" i="3" s="1"/>
  <c r="J31" i="3" s="1"/>
  <c r="K31" i="3" s="1"/>
  <c r="G11" i="3"/>
  <c r="H11" i="3" s="1"/>
  <c r="I11" i="3" s="1"/>
  <c r="J11" i="3" s="1"/>
  <c r="K11" i="3" s="1"/>
  <c r="F121" i="1"/>
  <c r="G121" i="1" s="1"/>
  <c r="H121" i="1" s="1"/>
  <c r="I121" i="1" s="1"/>
  <c r="J121" i="1" s="1"/>
  <c r="K121" i="1" s="1"/>
  <c r="F120" i="1"/>
  <c r="G120" i="1" s="1"/>
  <c r="H120" i="1" s="1"/>
  <c r="I120" i="1" s="1"/>
  <c r="J120" i="1" s="1"/>
  <c r="K120" i="1" s="1"/>
  <c r="D121" i="1"/>
  <c r="D120" i="1"/>
  <c r="J100" i="1"/>
  <c r="G10" i="3"/>
  <c r="H30" i="3"/>
  <c r="I30" i="3" s="1"/>
  <c r="J30" i="3" s="1"/>
  <c r="K30" i="3" s="1"/>
  <c r="I86" i="1"/>
  <c r="J116" i="1"/>
  <c r="G93" i="1"/>
  <c r="G69" i="1"/>
  <c r="F6" i="2"/>
  <c r="H14" i="1"/>
  <c r="F12" i="4"/>
  <c r="G7" i="3"/>
  <c r="G43" i="1"/>
  <c r="H61" i="4"/>
  <c r="G61" i="4"/>
  <c r="F61" i="4"/>
  <c r="E61" i="4"/>
  <c r="D61" i="4"/>
  <c r="G17" i="3"/>
  <c r="H37" i="3"/>
  <c r="I37" i="3" s="1"/>
  <c r="J37" i="3" s="1"/>
  <c r="K37" i="3" s="1"/>
  <c r="H36" i="3"/>
  <c r="I36" i="3" s="1"/>
  <c r="J36" i="3" s="1"/>
  <c r="K36" i="3" s="1"/>
  <c r="G16" i="3"/>
  <c r="H16" i="3" s="1"/>
  <c r="I16" i="3" s="1"/>
  <c r="J16" i="3" s="1"/>
  <c r="K16" i="3" s="1"/>
  <c r="J21" i="3" l="1"/>
  <c r="K21" i="3" s="1"/>
  <c r="H13" i="3"/>
  <c r="I13" i="3" s="1"/>
  <c r="J13" i="3" s="1"/>
  <c r="K13" i="3" s="1"/>
  <c r="E120" i="1"/>
  <c r="E121" i="1"/>
  <c r="I39" i="1"/>
  <c r="G22" i="4"/>
  <c r="J104" i="1"/>
  <c r="H69" i="1"/>
  <c r="I14" i="1"/>
  <c r="H43" i="1"/>
  <c r="G12" i="4"/>
  <c r="G34" i="4" s="1"/>
  <c r="H7" i="3"/>
  <c r="G6" i="2"/>
  <c r="H93" i="1"/>
  <c r="K100" i="1"/>
  <c r="F34" i="4"/>
  <c r="E6" i="4"/>
  <c r="E8" i="4" s="1"/>
  <c r="D35" i="4" s="1"/>
  <c r="H17" i="3"/>
  <c r="I17" i="3" s="1"/>
  <c r="J17" i="3" s="1"/>
  <c r="K17" i="3" s="1"/>
  <c r="D6" i="3"/>
  <c r="D92" i="1"/>
  <c r="H10" i="3"/>
  <c r="G26" i="3"/>
  <c r="J87" i="1"/>
  <c r="K117" i="1"/>
  <c r="K85" i="1" s="1"/>
  <c r="J85" i="1"/>
  <c r="J86" i="1"/>
  <c r="K116" i="1"/>
  <c r="K86" i="1" s="1"/>
  <c r="K87" i="1" s="1"/>
  <c r="H11" i="4"/>
  <c r="J13" i="1"/>
  <c r="I6" i="3"/>
  <c r="I42" i="1"/>
  <c r="H5" i="2" s="1"/>
  <c r="I68" i="1"/>
  <c r="I92" i="1"/>
  <c r="I69" i="1" l="1"/>
  <c r="I43" i="1"/>
  <c r="J14" i="1"/>
  <c r="H12" i="4"/>
  <c r="H34" i="4" s="1"/>
  <c r="I7" i="3"/>
  <c r="H6" i="2"/>
  <c r="I93" i="1"/>
  <c r="I11" i="4"/>
  <c r="K13" i="1"/>
  <c r="J6" i="3"/>
  <c r="J42" i="1"/>
  <c r="I5" i="2" s="1"/>
  <c r="J68" i="1"/>
  <c r="J92" i="1"/>
  <c r="G27" i="3"/>
  <c r="G35" i="1" s="1"/>
  <c r="F18" i="2"/>
  <c r="I10" i="3"/>
  <c r="H26" i="3"/>
  <c r="K104" i="1"/>
  <c r="H22" i="4"/>
  <c r="J39" i="1"/>
  <c r="I22" i="4" l="1"/>
  <c r="K39" i="1"/>
  <c r="J22" i="4" s="1"/>
  <c r="D8" i="5" s="1"/>
  <c r="D9" i="5" s="1"/>
  <c r="E22" i="5" s="1"/>
  <c r="K6" i="3"/>
  <c r="K42" i="1"/>
  <c r="J5" i="2" s="1"/>
  <c r="K68" i="1"/>
  <c r="K92" i="1"/>
  <c r="J11" i="4"/>
  <c r="J10" i="3"/>
  <c r="I26" i="3"/>
  <c r="J93" i="1"/>
  <c r="K14" i="1"/>
  <c r="I12" i="4"/>
  <c r="I34" i="4" s="1"/>
  <c r="J7" i="3"/>
  <c r="I6" i="2"/>
  <c r="J43" i="1"/>
  <c r="J69" i="1"/>
  <c r="H27" i="3"/>
  <c r="H35" i="1" s="1"/>
  <c r="G15" i="4" s="1"/>
  <c r="G18" i="2"/>
  <c r="G53" i="1"/>
  <c r="G96" i="1"/>
  <c r="G45" i="1"/>
  <c r="G31" i="1"/>
  <c r="G47" i="1"/>
  <c r="H47" i="1" s="1"/>
  <c r="G49" i="1"/>
  <c r="G54" i="1"/>
  <c r="G57" i="1"/>
  <c r="F15" i="4"/>
  <c r="F19" i="2"/>
  <c r="F23" i="2"/>
  <c r="G16" i="1"/>
  <c r="F9" i="2"/>
  <c r="F33" i="2"/>
  <c r="F17" i="2"/>
  <c r="F28" i="2"/>
  <c r="H53" i="1" l="1"/>
  <c r="F27" i="2"/>
  <c r="F29" i="2"/>
  <c r="F11" i="2"/>
  <c r="G19" i="1" s="1"/>
  <c r="H31" i="1"/>
  <c r="G60" i="1"/>
  <c r="G73" i="1"/>
  <c r="G80" i="1"/>
  <c r="H96" i="1"/>
  <c r="G97" i="1"/>
  <c r="G98" i="1" s="1"/>
  <c r="H45" i="1"/>
  <c r="K10" i="3"/>
  <c r="K26" i="3" s="1"/>
  <c r="J26" i="3"/>
  <c r="K69" i="1"/>
  <c r="J12" i="4"/>
  <c r="J34" i="4" s="1"/>
  <c r="K7" i="3"/>
  <c r="J6" i="2"/>
  <c r="K43" i="1"/>
  <c r="K93" i="1"/>
  <c r="G23" i="2"/>
  <c r="H16" i="1"/>
  <c r="G9" i="2"/>
  <c r="G33" i="2"/>
  <c r="G17" i="2"/>
  <c r="G28" i="2"/>
  <c r="G19" i="2"/>
  <c r="G77" i="1"/>
  <c r="H57" i="1"/>
  <c r="F32" i="2"/>
  <c r="F12" i="2"/>
  <c r="G17" i="1" s="1"/>
  <c r="G18" i="1" s="1"/>
  <c r="G21" i="1" s="1"/>
  <c r="F34" i="2"/>
  <c r="I27" i="3"/>
  <c r="I35" i="1" s="1"/>
  <c r="H15" i="4" s="1"/>
  <c r="H18" i="2"/>
  <c r="F14" i="4"/>
  <c r="G103" i="1"/>
  <c r="H54" i="1"/>
  <c r="J38" i="2"/>
  <c r="I38" i="2"/>
  <c r="H38" i="2"/>
  <c r="G38" i="2"/>
  <c r="F38" i="2"/>
  <c r="F10" i="2"/>
  <c r="G20" i="1" s="1"/>
  <c r="F22" i="2"/>
  <c r="F24" i="2"/>
  <c r="H49" i="1"/>
  <c r="G111" i="1"/>
  <c r="H95" i="1" l="1"/>
  <c r="G48" i="1"/>
  <c r="F18" i="4"/>
  <c r="F27" i="4"/>
  <c r="F28" i="4" s="1"/>
  <c r="G81" i="1"/>
  <c r="G14" i="4"/>
  <c r="H103" i="1"/>
  <c r="H80" i="1"/>
  <c r="I96" i="1"/>
  <c r="H97" i="1"/>
  <c r="G32" i="2"/>
  <c r="G12" i="2"/>
  <c r="H17" i="1" s="1"/>
  <c r="H18" i="1" s="1"/>
  <c r="G34" i="2"/>
  <c r="I45" i="1"/>
  <c r="I53" i="1"/>
  <c r="F39" i="2"/>
  <c r="F13" i="2"/>
  <c r="I5" i="4" s="1"/>
  <c r="F37" i="2"/>
  <c r="H13" i="2"/>
  <c r="H37" i="2"/>
  <c r="H39" i="2"/>
  <c r="H77" i="1"/>
  <c r="I57" i="1"/>
  <c r="H60" i="1"/>
  <c r="H23" i="2"/>
  <c r="I16" i="1"/>
  <c r="H9" i="2"/>
  <c r="H33" i="2"/>
  <c r="H17" i="2"/>
  <c r="H28" i="2"/>
  <c r="H19" i="2"/>
  <c r="G13" i="2"/>
  <c r="G37" i="2"/>
  <c r="G39" i="2"/>
  <c r="I31" i="1"/>
  <c r="H73" i="1"/>
  <c r="G22" i="2"/>
  <c r="G24" i="2"/>
  <c r="G10" i="2"/>
  <c r="H20" i="1" s="1"/>
  <c r="I47" i="1"/>
  <c r="J13" i="2"/>
  <c r="J37" i="2"/>
  <c r="J39" i="2"/>
  <c r="H108" i="1"/>
  <c r="G27" i="2"/>
  <c r="G29" i="2"/>
  <c r="G11" i="2"/>
  <c r="H19" i="1" s="1"/>
  <c r="J27" i="3"/>
  <c r="J35" i="1" s="1"/>
  <c r="I15" i="4" s="1"/>
  <c r="I18" i="2"/>
  <c r="G52" i="1"/>
  <c r="G46" i="1"/>
  <c r="I13" i="2"/>
  <c r="I37" i="2"/>
  <c r="I39" i="2"/>
  <c r="I54" i="1"/>
  <c r="G105" i="1"/>
  <c r="G109" i="1"/>
  <c r="G110" i="1" s="1"/>
  <c r="G76" i="1" s="1"/>
  <c r="I49" i="1"/>
  <c r="H111" i="1"/>
  <c r="K27" i="3"/>
  <c r="K35" i="1" s="1"/>
  <c r="J15" i="4" s="1"/>
  <c r="J18" i="2"/>
  <c r="J47" i="1" l="1"/>
  <c r="K47" i="1" s="1"/>
  <c r="J96" i="1"/>
  <c r="I80" i="1"/>
  <c r="I97" i="1"/>
  <c r="H21" i="1"/>
  <c r="H27" i="2"/>
  <c r="H29" i="2"/>
  <c r="H11" i="2"/>
  <c r="I19" i="1" s="1"/>
  <c r="C65" i="4"/>
  <c r="C63" i="4"/>
  <c r="C66" i="4"/>
  <c r="C64" i="4"/>
  <c r="C62" i="4"/>
  <c r="J9" i="2"/>
  <c r="J33" i="2"/>
  <c r="J17" i="2"/>
  <c r="J28" i="2"/>
  <c r="J19" i="2"/>
  <c r="J23" i="2"/>
  <c r="K16" i="1"/>
  <c r="H14" i="4"/>
  <c r="I103" i="1"/>
  <c r="H10" i="2"/>
  <c r="I20" i="1" s="1"/>
  <c r="H22" i="2"/>
  <c r="H24" i="2"/>
  <c r="J45" i="1"/>
  <c r="I60" i="1"/>
  <c r="H105" i="1"/>
  <c r="H109" i="1"/>
  <c r="G75" i="1"/>
  <c r="G58" i="1"/>
  <c r="H52" i="1"/>
  <c r="I9" i="2"/>
  <c r="I33" i="2"/>
  <c r="I17" i="2"/>
  <c r="I28" i="2"/>
  <c r="I19" i="2"/>
  <c r="I23" i="2"/>
  <c r="J16" i="1"/>
  <c r="F21" i="4"/>
  <c r="F23" i="4" s="1"/>
  <c r="F19" i="4"/>
  <c r="J53" i="1"/>
  <c r="K53" i="1" s="1"/>
  <c r="H110" i="1"/>
  <c r="H76" i="1" s="1"/>
  <c r="I108" i="1"/>
  <c r="J49" i="1"/>
  <c r="I111" i="1"/>
  <c r="I73" i="1"/>
  <c r="J31" i="1"/>
  <c r="G27" i="4"/>
  <c r="G28" i="4" s="1"/>
  <c r="H81" i="1"/>
  <c r="I77" i="1"/>
  <c r="J57" i="1"/>
  <c r="G29" i="1"/>
  <c r="G30" i="1" s="1"/>
  <c r="G72" i="1"/>
  <c r="H46" i="1"/>
  <c r="G74" i="1"/>
  <c r="F26" i="4" s="1"/>
  <c r="H34" i="2"/>
  <c r="H32" i="2"/>
  <c r="H12" i="2"/>
  <c r="I17" i="1" s="1"/>
  <c r="I18" i="1" s="1"/>
  <c r="J54" i="1"/>
  <c r="K54" i="1" s="1"/>
  <c r="H98" i="1"/>
  <c r="K49" i="1" l="1"/>
  <c r="K111" i="1" s="1"/>
  <c r="J111" i="1"/>
  <c r="I105" i="1"/>
  <c r="I109" i="1"/>
  <c r="I46" i="1"/>
  <c r="H74" i="1"/>
  <c r="I21" i="1"/>
  <c r="H29" i="1"/>
  <c r="H72" i="1"/>
  <c r="J22" i="2"/>
  <c r="J24" i="2"/>
  <c r="J10" i="2"/>
  <c r="K20" i="1" s="1"/>
  <c r="I14" i="4"/>
  <c r="J103" i="1"/>
  <c r="I34" i="2"/>
  <c r="I32" i="2"/>
  <c r="I12" i="2"/>
  <c r="J17" i="1" s="1"/>
  <c r="J18" i="1" s="1"/>
  <c r="H58" i="1"/>
  <c r="I52" i="1"/>
  <c r="H75" i="1"/>
  <c r="J14" i="4"/>
  <c r="K103" i="1"/>
  <c r="I22" i="2"/>
  <c r="I24" i="2"/>
  <c r="I10" i="2"/>
  <c r="J20" i="1" s="1"/>
  <c r="F16" i="4"/>
  <c r="G32" i="1"/>
  <c r="J77" i="1"/>
  <c r="K57" i="1"/>
  <c r="K77" i="1" s="1"/>
  <c r="I95" i="1"/>
  <c r="I98" i="1" s="1"/>
  <c r="H48" i="1"/>
  <c r="J27" i="2"/>
  <c r="J29" i="2"/>
  <c r="J11" i="2"/>
  <c r="K19" i="1" s="1"/>
  <c r="I27" i="2"/>
  <c r="I29" i="2"/>
  <c r="I11" i="2"/>
  <c r="J19" i="1" s="1"/>
  <c r="K45" i="1"/>
  <c r="J32" i="2"/>
  <c r="J12" i="2"/>
  <c r="K17" i="1" s="1"/>
  <c r="K18" i="1" s="1"/>
  <c r="J34" i="2"/>
  <c r="I81" i="1"/>
  <c r="H27" i="4"/>
  <c r="H28" i="4" s="1"/>
  <c r="J60" i="1"/>
  <c r="G18" i="4"/>
  <c r="H30" i="1"/>
  <c r="K31" i="1"/>
  <c r="K73" i="1" s="1"/>
  <c r="J73" i="1"/>
  <c r="I110" i="1"/>
  <c r="I76" i="1" s="1"/>
  <c r="J108" i="1"/>
  <c r="J80" i="1"/>
  <c r="K96" i="1"/>
  <c r="J97" i="1"/>
  <c r="K21" i="1" l="1"/>
  <c r="G26" i="4"/>
  <c r="J18" i="4"/>
  <c r="J46" i="1"/>
  <c r="I74" i="1"/>
  <c r="H26" i="4" s="1"/>
  <c r="J21" i="1"/>
  <c r="J81" i="1"/>
  <c r="I27" i="4"/>
  <c r="I28" i="4" s="1"/>
  <c r="K80" i="1"/>
  <c r="K97" i="1"/>
  <c r="K105" i="1" s="1"/>
  <c r="J95" i="1"/>
  <c r="J98" i="1" s="1"/>
  <c r="I48" i="1"/>
  <c r="I58" i="1"/>
  <c r="J52" i="1"/>
  <c r="I75" i="1"/>
  <c r="I29" i="1"/>
  <c r="I72" i="1"/>
  <c r="J105" i="1"/>
  <c r="J109" i="1"/>
  <c r="K108" i="1"/>
  <c r="J110" i="1"/>
  <c r="J76" i="1" s="1"/>
  <c r="K109" i="1"/>
  <c r="K110" i="1" s="1"/>
  <c r="K76" i="1" s="1"/>
  <c r="G16" i="4"/>
  <c r="H32" i="1"/>
  <c r="G21" i="4"/>
  <c r="G23" i="4" s="1"/>
  <c r="G19" i="4"/>
  <c r="K60" i="1"/>
  <c r="F17" i="4"/>
  <c r="F25" i="4"/>
  <c r="F30" i="4" s="1"/>
  <c r="F35" i="4" s="1"/>
  <c r="H18" i="4"/>
  <c r="I30" i="1"/>
  <c r="H16" i="4" l="1"/>
  <c r="I32" i="1"/>
  <c r="K72" i="1"/>
  <c r="K29" i="1"/>
  <c r="K30" i="1" s="1"/>
  <c r="K95" i="1"/>
  <c r="K98" i="1" s="1"/>
  <c r="K48" i="1" s="1"/>
  <c r="J48" i="1"/>
  <c r="H21" i="4"/>
  <c r="H23" i="4" s="1"/>
  <c r="H19" i="4"/>
  <c r="F36" i="4"/>
  <c r="J29" i="1"/>
  <c r="J30" i="1" s="1"/>
  <c r="J72" i="1"/>
  <c r="I18" i="4"/>
  <c r="K52" i="1"/>
  <c r="J75" i="1"/>
  <c r="J58" i="1"/>
  <c r="G17" i="4"/>
  <c r="G25" i="4"/>
  <c r="G30" i="4" s="1"/>
  <c r="G35" i="4" s="1"/>
  <c r="J27" i="4"/>
  <c r="J28" i="4" s="1"/>
  <c r="K81" i="1"/>
  <c r="K46" i="1"/>
  <c r="K74" i="1" s="1"/>
  <c r="J74" i="1"/>
  <c r="J19" i="4"/>
  <c r="J23" i="4"/>
  <c r="D73" i="4" s="1"/>
  <c r="D74" i="4" s="1"/>
  <c r="D40" i="4" s="1"/>
  <c r="J21" i="4"/>
  <c r="G36" i="4" l="1"/>
  <c r="D41" i="4"/>
  <c r="D42" i="4" s="1"/>
  <c r="K32" i="1"/>
  <c r="J16" i="4"/>
  <c r="I26" i="4"/>
  <c r="I21" i="4"/>
  <c r="I23" i="4" s="1"/>
  <c r="I19" i="4"/>
  <c r="H17" i="4"/>
  <c r="H25" i="4"/>
  <c r="H30" i="4" s="1"/>
  <c r="H35" i="4" s="1"/>
  <c r="K75" i="1"/>
  <c r="J26" i="4" s="1"/>
  <c r="K58" i="1"/>
  <c r="I16" i="4"/>
  <c r="J32" i="1"/>
  <c r="H36" i="4" l="1"/>
  <c r="J17" i="4"/>
  <c r="J25" i="4"/>
  <c r="J30" i="4" s="1"/>
  <c r="D75" i="4" s="1"/>
  <c r="D48" i="4"/>
  <c r="I17" i="4"/>
  <c r="I25" i="4"/>
  <c r="I30" i="4" s="1"/>
  <c r="I35" i="4" s="1"/>
  <c r="I36" i="4" l="1"/>
  <c r="D63" i="4"/>
  <c r="J35" i="4"/>
  <c r="J36" i="4" s="1"/>
  <c r="F65" i="4" l="1"/>
  <c r="D65" i="4"/>
  <c r="D62" i="4"/>
  <c r="D43" i="4"/>
  <c r="D44" i="4" s="1"/>
  <c r="D51" i="4" s="1"/>
  <c r="D54" i="4" s="1"/>
  <c r="D56" i="4" s="1"/>
  <c r="D58" i="4" s="1"/>
  <c r="H62" i="4"/>
  <c r="D66" i="4"/>
  <c r="F63" i="4"/>
  <c r="F62" i="4"/>
  <c r="G62" i="4"/>
  <c r="H64" i="4"/>
  <c r="H65" i="4"/>
  <c r="G66" i="4"/>
  <c r="F66" i="4"/>
  <c r="E63" i="4"/>
  <c r="F64" i="4"/>
  <c r="E65" i="4"/>
  <c r="D64" i="4"/>
  <c r="H66" i="4"/>
  <c r="E66" i="4"/>
  <c r="G65" i="4"/>
  <c r="E64" i="4"/>
  <c r="G64" i="4"/>
  <c r="H63" i="4"/>
  <c r="E62" i="4"/>
  <c r="G63" i="4"/>
  <c r="D46" i="4" l="1"/>
  <c r="D47" i="4"/>
  <c r="G22" i="1"/>
  <c r="H22" i="1"/>
  <c r="I22" i="1"/>
  <c r="J22" i="1"/>
  <c r="K22" i="1"/>
  <c r="G25" i="1"/>
  <c r="H25" i="1"/>
  <c r="I25" i="1"/>
  <c r="J25" i="1"/>
  <c r="K25" i="1"/>
  <c r="G26" i="1"/>
  <c r="H26" i="1"/>
  <c r="I26" i="1"/>
  <c r="J26" i="1"/>
  <c r="K26" i="1"/>
  <c r="G27" i="1"/>
  <c r="H27" i="1"/>
  <c r="I27" i="1"/>
  <c r="J27" i="1"/>
  <c r="K27" i="1"/>
  <c r="G44" i="1"/>
  <c r="H44" i="1"/>
  <c r="I44" i="1"/>
  <c r="J44" i="1"/>
  <c r="K44" i="1"/>
  <c r="G50" i="1"/>
  <c r="H50" i="1"/>
  <c r="I50" i="1"/>
  <c r="J50" i="1"/>
  <c r="K50" i="1"/>
  <c r="G61" i="1"/>
  <c r="H61" i="1"/>
  <c r="I61" i="1"/>
  <c r="J61" i="1"/>
  <c r="K61" i="1"/>
  <c r="G63" i="1"/>
  <c r="H63" i="1"/>
  <c r="I63" i="1"/>
  <c r="J63" i="1"/>
  <c r="K63" i="1"/>
  <c r="G65" i="1"/>
  <c r="H65" i="1"/>
  <c r="I65" i="1"/>
  <c r="J65" i="1"/>
  <c r="K65" i="1"/>
  <c r="G71" i="1"/>
  <c r="H71" i="1"/>
  <c r="I71" i="1"/>
  <c r="J71" i="1"/>
  <c r="K71" i="1"/>
  <c r="G78" i="1"/>
  <c r="H78" i="1"/>
  <c r="I78" i="1"/>
  <c r="J78" i="1"/>
  <c r="K78" i="1"/>
  <c r="G89" i="1"/>
  <c r="H89" i="1"/>
  <c r="I89" i="1"/>
  <c r="J89" i="1"/>
  <c r="K89" i="1"/>
  <c r="H114" i="1"/>
  <c r="I114" i="1"/>
  <c r="J114" i="1"/>
  <c r="K114" i="1"/>
  <c r="G115" i="1"/>
  <c r="H115" i="1"/>
  <c r="I115" i="1"/>
  <c r="J115" i="1"/>
  <c r="K115" i="1"/>
  <c r="G118" i="1"/>
  <c r="H118" i="1"/>
  <c r="I118" i="1"/>
  <c r="J118" i="1"/>
  <c r="K118" i="1"/>
</calcChain>
</file>

<file path=xl/sharedStrings.xml><?xml version="1.0" encoding="utf-8"?>
<sst xmlns="http://schemas.openxmlformats.org/spreadsheetml/2006/main" count="334" uniqueCount="235">
  <si>
    <t>Jourdan Partners</t>
  </si>
  <si>
    <t>$ mm except per share</t>
  </si>
  <si>
    <t>Company name</t>
  </si>
  <si>
    <t>Microsoft</t>
  </si>
  <si>
    <t>Ticker</t>
  </si>
  <si>
    <t>MSFT</t>
  </si>
  <si>
    <t>Latest closing share price</t>
  </si>
  <si>
    <t>Latest closing share price date</t>
  </si>
  <si>
    <t>Latest fiscal year end date</t>
  </si>
  <si>
    <t>Shares outstanding (millions)</t>
  </si>
  <si>
    <t>INCOME STATEMENT</t>
  </si>
  <si>
    <t>Fiscal year</t>
  </si>
  <si>
    <t>Fiscal year end date</t>
  </si>
  <si>
    <t>Revenue</t>
  </si>
  <si>
    <t>Cost of sales</t>
  </si>
  <si>
    <t>Gross Profit</t>
  </si>
  <si>
    <t>Research &amp; development</t>
  </si>
  <si>
    <t>Selling, general &amp; administrative</t>
  </si>
  <si>
    <t>Operating profit (EBIT)</t>
  </si>
  <si>
    <t>Interest income</t>
  </si>
  <si>
    <t>Interest expense</t>
  </si>
  <si>
    <t>Other expense, net</t>
  </si>
  <si>
    <t>Pretax profit</t>
  </si>
  <si>
    <t>Taxes</t>
  </si>
  <si>
    <t>Net income</t>
  </si>
  <si>
    <t>Depreciation &amp; amortization</t>
  </si>
  <si>
    <t>EBITDA</t>
  </si>
  <si>
    <t>Stock based compensation</t>
  </si>
  <si>
    <t>Adjusted EBITDA</t>
  </si>
  <si>
    <t>Growth rates &amp; margins</t>
  </si>
  <si>
    <t>Revenue growth</t>
  </si>
  <si>
    <t>Gross profit margin</t>
  </si>
  <si>
    <t>Assumption: Straight Line</t>
  </si>
  <si>
    <t>R&amp;D % of sales</t>
  </si>
  <si>
    <t>SG&amp;A % of sales</t>
  </si>
  <si>
    <t>Tax rate</t>
  </si>
  <si>
    <t>BALANCE SHEET</t>
  </si>
  <si>
    <t>Cash &amp; equivalents, ST and LT marketable securities</t>
  </si>
  <si>
    <t>Accounts receivable</t>
  </si>
  <si>
    <t>Inventories</t>
  </si>
  <si>
    <t>Other current assets</t>
  </si>
  <si>
    <t>Property, plant &amp; equipment</t>
  </si>
  <si>
    <t>Other non current assets</t>
  </si>
  <si>
    <t>Total assets</t>
  </si>
  <si>
    <t>Accounts payable</t>
  </si>
  <si>
    <t>Other current liabilities</t>
  </si>
  <si>
    <t>Deferred revenue (current and non current)</t>
  </si>
  <si>
    <t>Commercial paper / revolver</t>
  </si>
  <si>
    <t>Long term debt (includes current portion)</t>
  </si>
  <si>
    <t>Other non current liabilities</t>
  </si>
  <si>
    <t>Total liabilities</t>
  </si>
  <si>
    <t>Common stock</t>
  </si>
  <si>
    <t>Retained earnings</t>
  </si>
  <si>
    <t>Other comprehensive income</t>
  </si>
  <si>
    <t>Total equity</t>
  </si>
  <si>
    <t>Balance check</t>
  </si>
  <si>
    <t>CASH FLOW STATEMENT</t>
  </si>
  <si>
    <t>Depreciation and amortization</t>
  </si>
  <si>
    <t>Decreases / (Increases) in working capital assets</t>
  </si>
  <si>
    <t>Increases / (Decreases) in working capital liabilities</t>
  </si>
  <si>
    <t>Cash from operating activities</t>
  </si>
  <si>
    <t>Capital expenditures</t>
  </si>
  <si>
    <t>Cash from investing activities</t>
  </si>
  <si>
    <t>Long term debt</t>
  </si>
  <si>
    <t>Revolver</t>
  </si>
  <si>
    <t>Share repurchases</t>
  </si>
  <si>
    <t>Common dividends</t>
  </si>
  <si>
    <t>Cash from financing activities</t>
  </si>
  <si>
    <t>Net change in cash during period</t>
  </si>
  <si>
    <t>PROPERTY, PLANT &amp; EQUIPMENT</t>
  </si>
  <si>
    <t>Forecast</t>
  </si>
  <si>
    <t>Beginning of period</t>
  </si>
  <si>
    <t>Plus: Capital expenditures</t>
  </si>
  <si>
    <t>Less: Depreciation</t>
  </si>
  <si>
    <t>End of period</t>
  </si>
  <si>
    <t>D&amp;A related to PP&amp;E as a % of capex</t>
  </si>
  <si>
    <t>Assumption: Step-function</t>
  </si>
  <si>
    <t>IMPUTING TOTAL DEPRECIATION &amp; AMORTIZATION</t>
  </si>
  <si>
    <t>D&amp;A not related to PP&amp;E</t>
  </si>
  <si>
    <t>as % of revenue</t>
  </si>
  <si>
    <t>Depreciation &amp; Amortization - Total</t>
  </si>
  <si>
    <t>OTHER NON-CURRENT ASSETS</t>
  </si>
  <si>
    <t>Less: D&amp;A not related to PP&amp;E</t>
  </si>
  <si>
    <t>Plus: Additions</t>
  </si>
  <si>
    <t>RETAINED EARNINGS</t>
  </si>
  <si>
    <t>Plus: Net income</t>
  </si>
  <si>
    <t>Less: Dividends</t>
  </si>
  <si>
    <t>Less: Repurchases</t>
  </si>
  <si>
    <t>Dividend payout ratio</t>
  </si>
  <si>
    <t>Repurchases as % of net income</t>
  </si>
  <si>
    <t>Additional data</t>
  </si>
  <si>
    <t>D&amp;A related only to PP&amp;E</t>
  </si>
  <si>
    <t>Dividends</t>
  </si>
  <si>
    <t>Repurchases</t>
  </si>
  <si>
    <t>Weighted average interest rate on commercial paper</t>
  </si>
  <si>
    <t>Weighted average interest rate on cash</t>
  </si>
  <si>
    <t>Scenario Analysis</t>
  </si>
  <si>
    <t>Active case</t>
  </si>
  <si>
    <t>Base case</t>
  </si>
  <si>
    <t>Customer Revenue</t>
  </si>
  <si>
    <t>SG&amp;A</t>
  </si>
  <si>
    <t>WACC</t>
  </si>
  <si>
    <t>Terminal growth rate</t>
  </si>
  <si>
    <t>Best case</t>
  </si>
  <si>
    <t>NM</t>
  </si>
  <si>
    <t>Weak case</t>
  </si>
  <si>
    <t>Research &amp; Development</t>
  </si>
  <si>
    <t>Revenue Build</t>
  </si>
  <si>
    <t>Revenue Streams</t>
  </si>
  <si>
    <t>Productivity and Business Processes</t>
  </si>
  <si>
    <t>Microsoft 365 Commercial</t>
  </si>
  <si>
    <t>Microsoft 365 Consumer</t>
  </si>
  <si>
    <t>LinkedIn</t>
  </si>
  <si>
    <t>Dynamics</t>
  </si>
  <si>
    <t>Intelligent Cloud</t>
  </si>
  <si>
    <t>Server products and cloud services</t>
  </si>
  <si>
    <t>Enterprise and partner services</t>
  </si>
  <si>
    <t>More Personal Computing</t>
  </si>
  <si>
    <t>Xbox</t>
  </si>
  <si>
    <t>Windows and Devices</t>
  </si>
  <si>
    <t>Search advertising</t>
  </si>
  <si>
    <t>Other</t>
  </si>
  <si>
    <t>Total revenue</t>
  </si>
  <si>
    <t>Revenue Growth</t>
  </si>
  <si>
    <t>Assumption: growth fades towards terminal growth (speed and target in D48:D49)</t>
  </si>
  <si>
    <t>Assumption: Xbox becomes less and less relevant; growth fades towards 0% (D50)</t>
  </si>
  <si>
    <t>Assumption: Microsoft Devices becomes less and less relevant; growth fades towards 0% (D50)</t>
  </si>
  <si>
    <t>Growth fade assumptions</t>
  </si>
  <si>
    <t>Fade speed (share of gap closed per year)</t>
  </si>
  <si>
    <t>Fade target: segments (= terminal growth)</t>
  </si>
  <si>
    <t>Fade target: Xbox and Devices</t>
  </si>
  <si>
    <t>Discounted Cash Flow Valuation</t>
  </si>
  <si>
    <t>Most recent fiscal year end</t>
  </si>
  <si>
    <t>Discount rate (WACC)</t>
  </si>
  <si>
    <t>End of first fiscal year</t>
  </si>
  <si>
    <t>Current share price ($)</t>
  </si>
  <si>
    <t>Valuation date</t>
  </si>
  <si>
    <t>Share price date</t>
  </si>
  <si>
    <t>Share of FY2027 cash flow still to come</t>
  </si>
  <si>
    <t>Unlevered Free Cash Flows</t>
  </si>
  <si>
    <t>% growth</t>
  </si>
  <si>
    <t>% margin</t>
  </si>
  <si>
    <t>EBIT</t>
  </si>
  <si>
    <t>Tax on EBIT</t>
  </si>
  <si>
    <t>Net operating profit after tax (NOPAT)</t>
  </si>
  <si>
    <t>Changes in net working capital</t>
  </si>
  <si>
    <t>Unlevered free cash flows (UFCF)</t>
  </si>
  <si>
    <t>Present value of UFCF</t>
  </si>
  <si>
    <t>Val date</t>
  </si>
  <si>
    <t>Yr 1 - Stub</t>
  </si>
  <si>
    <t>Year 2</t>
  </si>
  <si>
    <t>Year 3</t>
  </si>
  <si>
    <t>Year 4</t>
  </si>
  <si>
    <t>Year 5</t>
  </si>
  <si>
    <t>Discounting date</t>
  </si>
  <si>
    <t>Stub %</t>
  </si>
  <si>
    <t>Unlevered free cash flows (UFCF) stub adjusted</t>
  </si>
  <si>
    <t>PV of unlevered free cash flows</t>
  </si>
  <si>
    <t>Terminal value (perpetuity growth)</t>
  </si>
  <si>
    <t>Long term growth rate</t>
  </si>
  <si>
    <t>Terminal-year FCF (normalized, see row 74)</t>
  </si>
  <si>
    <t>Terminal value in 2031</t>
  </si>
  <si>
    <t>Present value of terminal value</t>
  </si>
  <si>
    <t>PV of forecast-period cash flows</t>
  </si>
  <si>
    <t>Total enterprise value (TEV)</t>
  </si>
  <si>
    <t>Terminal value as % of TEV</t>
  </si>
  <si>
    <t>Forecast-period cash flows as % of TEV</t>
  </si>
  <si>
    <t>Implied exit multiple (TV / EBITDA)</t>
  </si>
  <si>
    <t>Equity value bridge</t>
  </si>
  <si>
    <t>Plus: cash &amp; marketable securities</t>
  </si>
  <si>
    <t>Less: debt (excl. leases)</t>
  </si>
  <si>
    <t>Equity value</t>
  </si>
  <si>
    <t>Shares outstanding (mm)</t>
  </si>
  <si>
    <t>Implied value per share ($)</t>
  </si>
  <si>
    <t>Implied premium / (discount) to price</t>
  </si>
  <si>
    <t>Value per share ($): WACC vs terminal growth rate</t>
  </si>
  <si>
    <t>Sensitivity is recalculated with formulas (no data table); centre cell equals the base output above.</t>
  </si>
  <si>
    <t>Terminal year normalization</t>
  </si>
  <si>
    <t>Return on new invested capital (ROIC)</t>
  </si>
  <si>
    <t>Assumption: ROIC earned on new investment in perpetuity</t>
  </si>
  <si>
    <t>Terminal reinvestment rate (g / ROIC)</t>
  </si>
  <si>
    <t>Terminal-year NOPAT</t>
  </si>
  <si>
    <t>Normalized terminal-year FCF</t>
  </si>
  <si>
    <t>Memo: FCF as modeled (FY2031 x (1+g))</t>
  </si>
  <si>
    <t>WACC Buildup</t>
  </si>
  <si>
    <t>Cost of capital assumptions</t>
  </si>
  <si>
    <t>Source</t>
  </si>
  <si>
    <t>Cost of debt</t>
  </si>
  <si>
    <t>Microsoft Bond Yield</t>
  </si>
  <si>
    <t>Cost of debt (after tax)</t>
  </si>
  <si>
    <t>Risk free rate</t>
  </si>
  <si>
    <t>10 Year US Treasury Yield 06.10.2026</t>
  </si>
  <si>
    <t>Beta</t>
  </si>
  <si>
    <t>Wallstreetnumbers adjusted Beta</t>
  </si>
  <si>
    <t>Market risk premium</t>
  </si>
  <si>
    <t xml:space="preserve"> Damodaran Market Risk Premium</t>
  </si>
  <si>
    <t>Cost of equity</t>
  </si>
  <si>
    <t>Capital weights (capital structure)</t>
  </si>
  <si>
    <t>Current</t>
  </si>
  <si>
    <t>% of total</t>
  </si>
  <si>
    <t>Equity</t>
  </si>
  <si>
    <t>Debt</t>
  </si>
  <si>
    <t>Cost of capital (WACC)</t>
  </si>
  <si>
    <t>Assumption: Capital expenditures grows with revenue</t>
  </si>
  <si>
    <t xml:space="preserve">Microsoft 10k </t>
  </si>
  <si>
    <t>Microsoft Corporation: valuation summary</t>
  </si>
  <si>
    <t>Scenario shown</t>
  </si>
  <si>
    <t>Units</t>
  </si>
  <si>
    <t>Result</t>
  </si>
  <si>
    <t>Enterprise value (TEV)</t>
  </si>
  <si>
    <t>Key assumptions</t>
  </si>
  <si>
    <t>Revenue growth FY2027</t>
  </si>
  <si>
    <t>Fades to terminal growth, 25% of the gap per year</t>
  </si>
  <si>
    <t>Revenue growth FY2031</t>
  </si>
  <si>
    <t>EBIT margin</t>
  </si>
  <si>
    <t>Held at the FY2026 level</t>
  </si>
  <si>
    <t>Capex as % of revenue</t>
  </si>
  <si>
    <t>Capex grows in line with revenue</t>
  </si>
  <si>
    <t>Risk-free 5.27%, beta 0.97, ERP 4.2%</t>
  </si>
  <si>
    <t>ROIC on new investment (terminal year)</t>
  </si>
  <si>
    <t>Sets terminal reinvestment (g / ROIC)</t>
  </si>
  <si>
    <t>Scenario comparison</t>
  </si>
  <si>
    <t>Value per share ($)</t>
  </si>
  <si>
    <t>vs current price</t>
  </si>
  <si>
    <t>Terminal growth</t>
  </si>
  <si>
    <t>Scenario values are fixed figures from the model run on 6 Oct 2026; rerun each case if assumptions change.</t>
  </si>
  <si>
    <t>Sensitivity: value per share ($), WACC vs terminal growth rate</t>
  </si>
  <si>
    <t>WACC (down) / terminal growth (across)</t>
  </si>
  <si>
    <t>Sources and notes</t>
  </si>
  <si>
    <t>Beta: 0.97, Wallstreetnumbers adjusted Beta.</t>
  </si>
  <si>
    <t>Method: five-year discounted cash flow with a three-statement forecast; terminal value by perpetuity growth with a normalized terminal year.</t>
  </si>
  <si>
    <t>Disclaimer: For educational purposes only. This is an illustrative valuation based on public information and the stated assumptions. It is not investment advice or a recommendation to buy or sell any security.</t>
  </si>
  <si>
    <t>Equity risk premium: 4.2%, Damodaran Market Risk Premium as of July 2026.</t>
  </si>
  <si>
    <t>Risk-free rate: 10 Year US Treasury Yield 06.10.2026 (5.27%). Source: Financial Times.</t>
  </si>
  <si>
    <t>Historical financials: Microsoft Form 10-K, fiscal year ended 30 June 2026, 10-k release: July 29,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</si>
</sst>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3">
    <numFmt numFmtId="164" formatCode="m/d/yyyy"/>
    <numFmt numFmtId="165" formatCode="#,##0_);\(#,##0\)"/>
    <numFmt numFmtId="166" formatCode="0\A;[Red]0\A"/>
    <numFmt numFmtId="167" formatCode="0\P;[Red]0\P"/>
    <numFmt numFmtId="168" formatCode="m/d/yy;@"/>
    <numFmt numFmtId="169" formatCode="_ * #,##0_ ;_ * \-#,##0_ ;_ * \-_ ;_ @_ "/>
    <numFmt numFmtId="170" formatCode="_(#,##0.0%_);\(#,##0.0%\);_(\–_)_%;_(@_)_%"/>
    <numFmt numFmtId="171" formatCode="0.0%"/>
    <numFmt numFmtId="172" formatCode="0.0%_);\(0.0%\);@_)"/>
    <numFmt numFmtId="173" formatCode="0\P_);\(0&quot;P)&quot;"/>
    <numFmt numFmtId="174" formatCode="\$#,##0.00_);&quot;($&quot;#,##0.00\)"/>
    <numFmt numFmtId="175" formatCode="0000\A"/>
    <numFmt numFmtId="176" formatCode="0000\P"/>
    <numFmt numFmtId="177" formatCode="#,##0_);\(#,##0\);@_)"/>
    <numFmt numFmtId="178" formatCode="0.0\x_);\(0.0&quot;x)&quot;;@_)"/>
    <numFmt numFmtId="179" formatCode="#,##0;\(#,##0\)"/>
    <numFmt numFmtId="180" formatCode="\$#,##0.00"/>
    <numFmt numFmtId="181" formatCode="0.0%;\(0.0%\)"/>
    <numFmt numFmtId="182" formatCode="\$#,##0"/>
    <numFmt numFmtId="183" formatCode="_(#,##0.00%_);\(#,##0.00%\);_(\–_)_%;_(@_)_%"/>
    <numFmt numFmtId="184" formatCode="#,##0.000_);\(#,##0.000\)"/>
    <numFmt numFmtId="185" formatCode="#,##0.0_);\(#,##0.0\);@_)"/>
    <numFmt numFmtId="186" formatCode="#,##0.00_);\(#,##0\)"/>
    <numFmt numFmtId="187" formatCode="#,##0.0%_);\(#,##0.0%\)"/>
    <numFmt numFmtId="188" formatCode="0.0&quot; x&quot;"/>
    <numFmt numFmtId="189" formatCode="#,##0.00\ ;\(#,##0.00\)"/>
    <numFmt numFmtId="190" formatCode="\$#,##0.00\ ;&quot;($&quot;#,##0.00\)"/>
    <numFmt numFmtId="191" formatCode="0.0%_);\(0.0%\)"/>
    <numFmt numFmtId="192" formatCode="[&gt;1]&quot;10Q: &quot;0&quot; qtrs&quot;;&quot;10Q: &quot;0&quot; qtr&quot;"/>
    <numFmt numFmtId="193" formatCode="0.000&quot; xrate&quot;"/>
    <numFmt numFmtId="194" formatCode="#,##0.000_);[Red]\(#,##0.000\)"/>
    <numFmt numFmtId="195" formatCode="#,##0_);[Red]\(#,##0\)"/>
    <numFmt numFmtId="196" formatCode="_(* #,##0.00_);_(* \(#,##0.00\);_(* \-??_);_(@_)"/>
    <numFmt numFmtId="197" formatCode="#,##0.00_);\(#,##0.00\)"/>
    <numFmt numFmtId="198" formatCode="0.00_);\(0.00\);0.00"/>
    <numFmt numFmtId="199" formatCode="\$#,##0.00_);[Red]&quot;($&quot;#,##0.00\);&quot;--  &quot;;_(@_)"/>
    <numFmt numFmtId="200" formatCode="\$#,##0_);&quot;($&quot;#,##0\)"/>
    <numFmt numFmtId="201" formatCode="&quot;C$&quot;#,##0.00_);[Red]&quot;($&quot;#,##0.00\)"/>
    <numFmt numFmtId="202" formatCode="#,##0%_);\(#,##0.0%\)"/>
    <numFmt numFmtId="203" formatCode="_(* #,##0.00000000_);_(* \(#,##0.00000000\);_(* \-?_);_(@_)"/>
    <numFmt numFmtId="204" formatCode="d\-mmm\-yy"/>
    <numFmt numFmtId="205" formatCode="mmm\-d\-yyyy"/>
    <numFmt numFmtId="206" formatCode="mmm\-dd\-yy"/>
    <numFmt numFmtId="207" formatCode="mmm\-dd\-yyyy"/>
    <numFmt numFmtId="208" formatCode="mmm\-yyyy"/>
    <numFmt numFmtId="209" formatCode="yyyy"/>
    <numFmt numFmtId="210" formatCode="0.00&quot;xrate&quot;"/>
    <numFmt numFmtId="211" formatCode="\$#,##0.00_);[Red]&quot;($&quot;#,##0.00\)"/>
    <numFmt numFmtId="212" formatCode="\$#,##0_);[Red]&quot;($&quot;#,##0\)"/>
    <numFmt numFmtId="213" formatCode="0.0&quot;  &quot;"/>
    <numFmt numFmtId="214" formatCode="\$#,##0.0\ ;[Red]&quot;($&quot;#,##0\)"/>
    <numFmt numFmtId="215" formatCode="\$#,##0.000_);[Red]&quot;($&quot;#,##0.000\)"/>
    <numFmt numFmtId="216" formatCode="\$#,##0.00\A;[Red]&quot;($&quot;#,##0.00&quot;)A&quot;"/>
    <numFmt numFmtId="217" formatCode="#,##0.0\ ;[Red]&quot;($&quot;#,##0\)"/>
    <numFmt numFmtId="218" formatCode="\$#,##0.00\E;[Red]&quot;($&quot;#,##0.00&quot;)E&quot;"/>
    <numFmt numFmtId="219" formatCode="_([$€-2]* #,##0.00_);_([$€-2]* \(#,##0.00\);_([$€-2]* \-??_)"/>
    <numFmt numFmtId="220" formatCode="#,##0.00;\(#,##0.00\)"/>
    <numFmt numFmtId="221" formatCode=".%&quot;,(&quot;0\.0%%;\t"/>
    <numFmt numFmtId="222" formatCode="#,##0.0_);[Red]\(#,##0.0\)"/>
    <numFmt numFmtId="223" formatCode="0.0%_);[Red]\(0.0%\)"/>
    <numFmt numFmtId="224" formatCode="mmm\-yy"/>
    <numFmt numFmtId="225" formatCode="0.00_);\(0.00\);0.00_)"/>
    <numFmt numFmtId="226" formatCode="#,##0\x"/>
    <numFmt numFmtId="227" formatCode="&quot;TKR &quot;0"/>
    <numFmt numFmtId="228" formatCode=".%&quot;,(&quot;0\.%%;\t"/>
    <numFmt numFmtId="229" formatCode="\$#,###.0&quot;  &quot;"/>
    <numFmt numFmtId="230" formatCode="#,##0.00\x_);[Red]\(#,##0.00&quot;x)&quot;"/>
    <numFmt numFmtId="231" formatCode="#,##0.0_);\(#,##0.0\)"/>
    <numFmt numFmtId="232" formatCode="#,##0.0_);[Red]\(#,##0.0\);&quot;--  &quot;"/>
    <numFmt numFmtId="233" formatCode="#,##0.00\x_);[Red]\(#,##0.00&quot;x)&quot;;&quot;--  &quot;"/>
    <numFmt numFmtId="234" formatCode="_(* #,##0.0_);_(* \(#,##0.0\);_(* \-??_);_(@_)"/>
    <numFmt numFmtId="235" formatCode="0.0\x_);[Red]\(0.0&quot;x)&quot;"/>
    <numFmt numFmtId="236" formatCode="0.0\ "/>
    <numFmt numFmtId="237" formatCode="\$#,##0.0;&quot;($&quot;#,##0.00\)"/>
    <numFmt numFmtId="238" formatCode="#,##0.00%_);\(#,##0.00%\)"/>
    <numFmt numFmtId="239" formatCode="0.00\%;\-0.00\%;0.00\%"/>
    <numFmt numFmtId="240" formatCode="0.0%\ ;\(0.0%\)"/>
    <numFmt numFmtId="241" formatCode="_(\$* #,##0_);_(\$* \(#,##0\);_(\$* \-??_);_(@_)"/>
    <numFmt numFmtId="242" formatCode="\$0.00\ "/>
    <numFmt numFmtId="243" formatCode="0.0&quot;     &quot;"/>
    <numFmt numFmtId="244" formatCode="0.00\x;\-0.00\x;0.00\x"/>
    <numFmt numFmtId="245" formatCode="\$#,##0.000_);&quot;($&quot;#,##0.000\)"/>
    <numFmt numFmtId="246" formatCode="#,##0.0_);\(#,##0.0\);_(* \-_)"/>
    <numFmt numFmtId="247" formatCode="_(\$* #,##0.00_);_(\$* \(#,##0.00\);_(* \-_);_(@_)"/>
    <numFmt numFmtId="248" formatCode="0.00%_);[Red]\(0.00%\)"/>
    <numFmt numFmtId="249" formatCode="0.00\x"/>
    <numFmt numFmtId="250" formatCode="#,##0.0\x_);\(#,##0.0&quot;x)&quot;"/>
    <numFmt numFmtId="251" formatCode="#,##0.00\x_);\(#,##0.00&quot;x)&quot;"/>
    <numFmt numFmtId="252" formatCode="###0\E_)"/>
    <numFmt numFmtId="253" formatCode="0.0&quot; years&quot;"/>
    <numFmt numFmtId="254" formatCode="dd\ mmm\ yyyy"/>
    <numFmt numFmtId="255" formatCode="0.0\x"/>
    <numFmt numFmtId="256" formatCode="0%;\(0%\)"/>
  </numFmts>
  <fonts count="103">
    <font>
      <sz val="11"/>
      <color theme="1"/>
      <name val="Aptos Narrow"/>
      <family val="2"/>
      <charset val="1"/>
    </font>
    <font>
      <sz val="10"/>
      <name val="GillSans"/>
      <charset val="1"/>
    </font>
    <font>
      <sz val="8"/>
      <color rgb="FF33CCCC"/>
      <name val="Times New Roman"/>
      <family val="1"/>
      <charset val="1"/>
    </font>
    <font>
      <sz val="10"/>
      <name val="Arial"/>
      <family val="2"/>
      <charset val="1"/>
    </font>
    <font>
      <b/>
      <sz val="8"/>
      <name val="Arial"/>
      <family val="2"/>
      <charset val="1"/>
    </font>
    <font>
      <sz val="10"/>
      <name val="Trebuchet MS"/>
      <family val="2"/>
      <charset val="1"/>
    </font>
    <font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sz val="11"/>
      <color rgb="FF800080"/>
      <name val="Calibri"/>
      <family val="2"/>
      <charset val="1"/>
    </font>
    <font>
      <sz val="8"/>
      <name val="Times New Roman"/>
      <family val="1"/>
      <charset val="1"/>
    </font>
    <font>
      <sz val="10"/>
      <name val="Times New Roman"/>
      <family val="1"/>
      <charset val="1"/>
    </font>
    <font>
      <b/>
      <sz val="18"/>
      <name val="Times New Roman"/>
      <family val="1"/>
    </font>
    <font>
      <b/>
      <sz val="11"/>
      <color rgb="FFFF9900"/>
      <name val="Calibri"/>
      <family val="2"/>
      <charset val="1"/>
    </font>
    <font>
      <sz val="10"/>
      <color rgb="FF000000"/>
      <name val="Arial"/>
      <family val="2"/>
      <charset val="1"/>
    </font>
    <font>
      <b/>
      <sz val="11"/>
      <color rgb="FFFFFFFF"/>
      <name val="Calibri"/>
      <family val="2"/>
      <charset val="1"/>
    </font>
    <font>
      <b/>
      <sz val="8"/>
      <color rgb="FF000000"/>
      <name val="Verdana"/>
      <family val="2"/>
      <charset val="1"/>
    </font>
    <font>
      <b/>
      <sz val="7"/>
      <name val="GillSans"/>
      <charset val="1"/>
    </font>
    <font>
      <b/>
      <u/>
      <sz val="8"/>
      <color rgb="FF000000"/>
      <name val="Arial"/>
      <family val="2"/>
      <charset val="1"/>
    </font>
    <font>
      <sz val="10"/>
      <name val="Geneva"/>
      <charset val="1"/>
    </font>
    <font>
      <sz val="24"/>
      <name val="Arial"/>
      <family val="2"/>
      <charset val="1"/>
    </font>
    <font>
      <sz val="8"/>
      <name val="Arial"/>
      <family val="2"/>
      <charset val="1"/>
    </font>
    <font>
      <sz val="8"/>
      <color rgb="FF0000FF"/>
      <name val="Arial"/>
      <family val="2"/>
      <charset val="1"/>
    </font>
    <font>
      <b/>
      <sz val="8"/>
      <name val="Times New Roman"/>
      <family val="1"/>
      <charset val="1"/>
    </font>
    <font>
      <i/>
      <sz val="11"/>
      <color rgb="FF808080"/>
      <name val="Calibri"/>
      <family val="2"/>
      <charset val="1"/>
    </font>
    <font>
      <sz val="11"/>
      <color rgb="FF008000"/>
      <name val="Calibri"/>
      <family val="2"/>
      <charset val="1"/>
    </font>
    <font>
      <i/>
      <sz val="8"/>
      <color rgb="FF008000"/>
      <name val="Times New Roman"/>
      <family val="1"/>
      <charset val="1"/>
    </font>
    <font>
      <sz val="8"/>
      <color rgb="FF008080"/>
      <name val="Arial"/>
      <family val="2"/>
      <charset val="1"/>
    </font>
    <font>
      <b/>
      <sz val="15"/>
      <color rgb="FF003366"/>
      <name val="Calibri"/>
      <family val="2"/>
      <charset val="1"/>
    </font>
    <font>
      <b/>
      <sz val="13"/>
      <color rgb="FF003366"/>
      <name val="Calibri"/>
      <family val="2"/>
      <charset val="1"/>
    </font>
    <font>
      <b/>
      <sz val="11"/>
      <color rgb="FF003366"/>
      <name val="Calibri"/>
      <family val="2"/>
      <charset val="1"/>
    </font>
    <font>
      <sz val="10"/>
      <color rgb="FF0000FF"/>
      <name val="Trebuchet MS"/>
      <family val="2"/>
      <charset val="1"/>
    </font>
    <font>
      <sz val="10"/>
      <name val="MS Sans Serif"/>
      <family val="2"/>
      <charset val="1"/>
    </font>
    <font>
      <sz val="11"/>
      <color rgb="FF333399"/>
      <name val="Calibri"/>
      <family val="2"/>
      <charset val="1"/>
    </font>
    <font>
      <b/>
      <sz val="10"/>
      <color rgb="FFFFFFFF"/>
      <name val="Times New Roman"/>
      <family val="1"/>
    </font>
    <font>
      <sz val="1"/>
      <color rgb="FFFFFFFF"/>
      <name val="Symbol"/>
      <family val="1"/>
      <charset val="2"/>
    </font>
    <font>
      <b/>
      <sz val="10"/>
      <name val="Arial"/>
      <family val="2"/>
      <charset val="1"/>
    </font>
    <font>
      <sz val="11"/>
      <color rgb="FFFF9900"/>
      <name val="Calibri"/>
      <family val="2"/>
      <charset val="1"/>
    </font>
    <font>
      <sz val="8"/>
      <color rgb="FF000080"/>
      <name val="Times New Roman"/>
      <family val="1"/>
      <charset val="1"/>
    </font>
    <font>
      <sz val="11"/>
      <color rgb="FF000000"/>
      <name val="Aptos Narrow"/>
      <family val="2"/>
      <charset val="1"/>
    </font>
    <font>
      <sz val="11"/>
      <color rgb="FF993300"/>
      <name val="Calibri"/>
      <family val="2"/>
      <charset val="1"/>
    </font>
    <font>
      <b/>
      <u/>
      <sz val="8"/>
      <color rgb="FF000000"/>
      <name val="Verdana"/>
      <family val="2"/>
      <charset val="1"/>
    </font>
    <font>
      <b/>
      <sz val="10"/>
      <color rgb="FFFFFFFF"/>
      <name val="Arial"/>
      <family val="2"/>
      <charset val="1"/>
    </font>
    <font>
      <b/>
      <sz val="12"/>
      <color rgb="FF000000"/>
      <name val="Verdana"/>
      <family val="2"/>
      <charset val="1"/>
    </font>
    <font>
      <b/>
      <sz val="11"/>
      <color rgb="FF333333"/>
      <name val="Calibri"/>
      <family val="2"/>
      <charset val="1"/>
    </font>
    <font>
      <sz val="10"/>
      <name val="Palatino"/>
      <charset val="1"/>
    </font>
    <font>
      <sz val="12"/>
      <name val="Baskerville MT"/>
      <charset val="1"/>
    </font>
    <font>
      <u/>
      <sz val="10"/>
      <name val="GillSans"/>
      <family val="2"/>
      <charset val="1"/>
    </font>
    <font>
      <sz val="8"/>
      <color rgb="FFFF0000"/>
      <name val="Arial"/>
      <family val="2"/>
      <charset val="1"/>
    </font>
    <font>
      <sz val="10"/>
      <name val="GillSans Light"/>
      <charset val="1"/>
    </font>
    <font>
      <b/>
      <sz val="8"/>
      <color rgb="FFFFFFFF"/>
      <name val="Verdana"/>
      <family val="2"/>
      <charset val="1"/>
    </font>
    <font>
      <b/>
      <sz val="12"/>
      <name val="Arial"/>
      <family val="2"/>
      <charset val="1"/>
    </font>
    <font>
      <b/>
      <sz val="16"/>
      <name val="Arial"/>
      <family val="2"/>
      <charset val="1"/>
    </font>
    <font>
      <sz val="8"/>
      <name val="MS Sans Serif"/>
      <family val="2"/>
      <charset val="1"/>
    </font>
    <font>
      <sz val="8.25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7"/>
      <name val="Times New Roman"/>
      <family val="1"/>
      <charset val="1"/>
    </font>
    <font>
      <sz val="7"/>
      <color rgb="FF008000"/>
      <name val="Times New Roman"/>
      <family val="1"/>
      <charset val="1"/>
    </font>
    <font>
      <sz val="7"/>
      <color rgb="FF000080"/>
      <name val="Times New Roman"/>
      <family val="1"/>
      <charset val="1"/>
    </font>
    <font>
      <b/>
      <sz val="12"/>
      <name val="GillSans"/>
      <family val="2"/>
      <charset val="1"/>
    </font>
    <font>
      <b/>
      <sz val="8"/>
      <color rgb="FF000000"/>
      <name val="Arial"/>
      <family val="2"/>
      <charset val="1"/>
    </font>
    <font>
      <i/>
      <sz val="8"/>
      <color rgb="FF000000"/>
      <name val="Arial"/>
      <family val="2"/>
      <charset val="1"/>
    </font>
    <font>
      <b/>
      <sz val="18"/>
      <color rgb="FF003366"/>
      <name val="Cambria"/>
      <family val="2"/>
      <charset val="1"/>
    </font>
    <font>
      <b/>
      <sz val="11"/>
      <name val="GillSans"/>
      <charset val="1"/>
    </font>
    <font>
      <b/>
      <sz val="8"/>
      <color rgb="FF000080"/>
      <name val="Times New Roman"/>
      <family val="1"/>
      <charset val="1"/>
    </font>
    <font>
      <b/>
      <sz val="13"/>
      <color rgb="FF000000"/>
      <name val="Verdana"/>
      <family val="2"/>
      <charset val="1"/>
    </font>
    <font>
      <i/>
      <sz val="8"/>
      <name val="Times New Roman"/>
      <family val="1"/>
      <charset val="1"/>
    </font>
    <font>
      <u/>
      <sz val="11"/>
      <name val="GillSans"/>
      <family val="2"/>
      <charset val="1"/>
    </font>
    <font>
      <b/>
      <sz val="11"/>
      <color rgb="FF000000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4"/>
      <color rgb="FFFFFFFF"/>
      <name val="Aptos Narrow"/>
      <family val="2"/>
    </font>
    <font>
      <b/>
      <sz val="11"/>
      <color theme="0"/>
      <name val="Aptos Narrow"/>
      <family val="2"/>
      <charset val="1"/>
    </font>
    <font>
      <b/>
      <sz val="11"/>
      <color theme="1"/>
      <name val="Aptos Narrow"/>
      <family val="2"/>
      <charset val="1"/>
    </font>
    <font>
      <sz val="11"/>
      <color rgb="FFFFFFFF"/>
      <name val="Aptos Narrow"/>
      <family val="2"/>
    </font>
    <font>
      <i/>
      <sz val="11"/>
      <color rgb="FF000000"/>
      <name val="Aptos Narrow"/>
      <family val="2"/>
      <charset val="1"/>
    </font>
    <font>
      <sz val="11"/>
      <color rgb="FF0000FF"/>
      <name val="Aptos Narrow"/>
      <family val="2"/>
      <charset val="1"/>
    </font>
    <font>
      <sz val="11"/>
      <color rgb="FF5A4036"/>
      <name val="Aptos Narrow"/>
      <family val="2"/>
      <charset val="1"/>
    </font>
    <font>
      <i/>
      <sz val="11"/>
      <color theme="1"/>
      <name val="Aptos Narrow"/>
      <family val="2"/>
      <charset val="1"/>
    </font>
    <font>
      <i/>
      <sz val="11"/>
      <color rgb="FF0000FF"/>
      <name val="Aptos Narrow"/>
      <family val="2"/>
      <charset val="1"/>
    </font>
    <font>
      <sz val="11"/>
      <color rgb="FF008000"/>
      <name val="Aptos Narrow"/>
      <family val="2"/>
      <charset val="1"/>
    </font>
    <font>
      <b/>
      <sz val="11"/>
      <color rgb="FF000000"/>
      <name val="Aptos Narrow"/>
      <family val="2"/>
      <charset val="1"/>
    </font>
    <font>
      <b/>
      <sz val="11"/>
      <name val="Aptos Narrow"/>
      <family val="2"/>
      <charset val="1"/>
    </font>
    <font>
      <sz val="11"/>
      <name val="Aptos Narrow"/>
      <family val="2"/>
      <charset val="1"/>
    </font>
    <font>
      <u/>
      <sz val="11"/>
      <color theme="1"/>
      <name val="Aptos Narrow"/>
      <family val="2"/>
      <charset val="1"/>
    </font>
    <font>
      <b/>
      <sz val="11"/>
      <color rgb="FF0000FF"/>
      <name val="Aptos Narrow"/>
      <family val="2"/>
    </font>
    <font>
      <u/>
      <sz val="11"/>
      <color theme="10"/>
      <name val="Aptos Narrow"/>
      <family val="2"/>
      <charset val="1"/>
    </font>
    <font>
      <b/>
      <sz val="11"/>
      <name val="Aptos Narrow"/>
      <family val="2"/>
    </font>
    <font>
      <sz val="11"/>
      <name val="Aptos Narrow"/>
      <family val="2"/>
    </font>
    <font>
      <sz val="11"/>
      <color rgb="FF008000"/>
      <name val="Aptos Narrow"/>
      <family val="2"/>
    </font>
    <font>
      <i/>
      <sz val="11"/>
      <color rgb="FF6B5A56"/>
      <name val="Aptos Narrow"/>
      <family val="2"/>
    </font>
    <font>
      <sz val="7"/>
      <color rgb="FF1A1A1A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11"/>
      <name val="Aptos Narrow"/>
      <family val="2"/>
    </font>
    <font>
      <sz val="11"/>
      <name val="Aptos Narrow"/>
      <family val="2"/>
    </font>
    <font>
      <sz val="11"/>
      <color rgb="FF0000FF"/>
      <name val="Aptos Narrow"/>
      <family val="2"/>
    </font>
    <font>
      <sz val="11"/>
      <color rgb="FF008000"/>
      <name val="Aptos Narrow"/>
      <family val="2"/>
    </font>
    <font>
      <b/>
      <sz val="11"/>
      <color rgb="FFFFFFFF"/>
      <name val="Aptos Narrow"/>
      <family val="2"/>
    </font>
    <font>
      <i/>
      <sz val="11"/>
      <color rgb="FF6B5A56"/>
      <name val="Aptos Narrow"/>
      <family val="2"/>
    </font>
    <font>
      <sz val="11"/>
      <name val="Aptos Narrow"/>
      <family val="2"/>
    </font>
    <font>
      <i/>
      <sz val="11"/>
      <color theme="1"/>
      <name val="Aptos Narrow"/>
      <family val="2"/>
    </font>
    <font>
      <b/>
      <sz val="14"/>
      <color rgb="FFFFFFFF"/>
      <name val="Aptos Narrow"/>
      <family val="2"/>
    </font>
    <font>
      <sz val="11"/>
      <color rgb="FFFFFFFF"/>
      <name val="Aptos Narrow"/>
      <family val="2"/>
    </font>
    <font>
      <b/>
      <sz val="11"/>
      <name val="Aptos Narrow"/>
      <family val="2"/>
    </font>
    <font>
      <i/>
      <sz val="11"/>
      <color rgb="FF6B5A56"/>
      <name val="Aptos Narrow"/>
      <family val="2"/>
    </font>
  </fonts>
  <fills count="40">
    <fill>
      <patternFill patternType="none"/>
    </fill>
    <fill>
      <patternFill patternType="gray125"/>
    </fill>
    <fill>
      <patternFill patternType="solid">
        <fgColor rgb="FFC0C0C0"/>
        <bgColor rgb="FFC0C0FF"/>
      </patternFill>
    </fill>
    <fill>
      <patternFill patternType="solid">
        <fgColor rgb="FFCCCCFF"/>
        <bgColor rgb="FFC9DAF8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C0C0FF"/>
      </patternFill>
    </fill>
    <fill>
      <patternFill patternType="solid">
        <fgColor rgb="FFCCFFFF"/>
        <bgColor rgb="FFCCFFCC"/>
      </patternFill>
    </fill>
    <fill>
      <patternFill patternType="solid">
        <fgColor rgb="FFFFCC99"/>
        <bgColor rgb="FFE0E0E0"/>
      </patternFill>
    </fill>
    <fill>
      <patternFill patternType="solid">
        <fgColor rgb="FF99CCFF"/>
        <bgColor rgb="FFC0C0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FF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C0006"/>
      </patternFill>
    </fill>
    <fill>
      <patternFill patternType="solid">
        <fgColor rgb="FF339966"/>
        <bgColor rgb="FF467886"/>
      </patternFill>
    </fill>
    <fill>
      <patternFill patternType="solid">
        <fgColor rgb="FFFF6600"/>
        <bgColor rgb="FFFF9900"/>
      </patternFill>
    </fill>
    <fill>
      <patternFill patternType="solid">
        <fgColor rgb="FF969696"/>
        <bgColor rgb="FF808080"/>
      </patternFill>
    </fill>
    <fill>
      <patternFill patternType="solid">
        <fgColor rgb="FF993300"/>
        <bgColor rgb="FF993366"/>
      </patternFill>
    </fill>
    <fill>
      <patternFill patternType="solid">
        <fgColor rgb="FFC0C0FF"/>
        <bgColor rgb="FFCCCCFF"/>
      </patternFill>
    </fill>
    <fill>
      <patternFill patternType="solid">
        <fgColor rgb="FFFFFFCC"/>
        <bgColor rgb="FFF7F3EE"/>
      </patternFill>
    </fill>
    <fill>
      <patternFill patternType="solid">
        <fgColor rgb="FF00FFFF"/>
        <bgColor rgb="FF00FFFF"/>
      </patternFill>
    </fill>
    <fill>
      <patternFill patternType="solid">
        <fgColor rgb="FFFFFF99"/>
        <bgColor rgb="FFFFFFCC"/>
      </patternFill>
    </fill>
    <fill>
      <patternFill patternType="solid">
        <fgColor rgb="FF000000"/>
        <bgColor rgb="FF1A1A1A"/>
      </patternFill>
    </fill>
    <fill>
      <patternFill patternType="solid">
        <fgColor rgb="FFFFFF00"/>
        <bgColor rgb="FFFFCC00"/>
      </patternFill>
    </fill>
    <fill>
      <patternFill patternType="solid">
        <fgColor rgb="FF808080"/>
        <bgColor rgb="FF969696"/>
      </patternFill>
    </fill>
    <fill>
      <patternFill patternType="solid">
        <fgColor rgb="FF333333"/>
        <bgColor rgb="FF49332B"/>
      </patternFill>
    </fill>
    <fill>
      <patternFill patternType="solid">
        <fgColor rgb="FF003366"/>
        <bgColor rgb="FF333399"/>
      </patternFill>
    </fill>
    <fill>
      <patternFill patternType="solid">
        <fgColor rgb="FF993366"/>
        <bgColor rgb="FFA02B93"/>
      </patternFill>
    </fill>
    <fill>
      <patternFill patternType="solid">
        <fgColor rgb="FFE0E0E0"/>
        <bgColor rgb="FFC9DAF8"/>
      </patternFill>
    </fill>
    <fill>
      <patternFill patternType="solid">
        <fgColor rgb="FF49332B"/>
        <bgColor rgb="FF333333"/>
      </patternFill>
    </fill>
    <fill>
      <patternFill patternType="solid">
        <fgColor rgb="FFC9DAF8"/>
        <bgColor rgb="FFCCCCFF"/>
      </patternFill>
    </fill>
    <fill>
      <patternFill patternType="solid">
        <fgColor rgb="FFC4A486"/>
        <bgColor rgb="FF969696"/>
      </patternFill>
    </fill>
    <fill>
      <patternFill patternType="solid">
        <fgColor rgb="FFF7F3EE"/>
        <bgColor rgb="FFFFFFFF"/>
      </patternFill>
    </fill>
    <fill>
      <patternFill patternType="solid">
        <fgColor theme="0"/>
        <bgColor rgb="FFF7F3EE"/>
      </patternFill>
    </fill>
    <fill>
      <patternFill patternType="solid">
        <fgColor rgb="FFC9DAF8"/>
      </patternFill>
    </fill>
  </fills>
  <borders count="29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double">
        <color auto="1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n">
        <color auto="1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/>
      <bottom style="double">
        <color rgb="FFFF9900"/>
      </bottom>
      <diagonal/>
    </border>
    <border>
      <left/>
      <right style="hair">
        <color auto="1"/>
      </right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10">
    <xf numFmtId="0" fontId="0" fillId="0" borderId="0"/>
    <xf numFmtId="0" fontId="84" fillId="0" borderId="0"/>
    <xf numFmtId="0" fontId="1" fillId="0" borderId="0"/>
    <xf numFmtId="186" fontId="1" fillId="0" borderId="0">
      <alignment horizontal="right"/>
    </xf>
    <xf numFmtId="187" fontId="1" fillId="2" borderId="0"/>
    <xf numFmtId="188" fontId="1" fillId="2" borderId="0"/>
    <xf numFmtId="189" fontId="1" fillId="2" borderId="0"/>
    <xf numFmtId="190" fontId="1" fillId="2" borderId="0">
      <alignment horizontal="right"/>
    </xf>
    <xf numFmtId="191" fontId="2" fillId="0" borderId="0"/>
    <xf numFmtId="0" fontId="3" fillId="0" borderId="0"/>
    <xf numFmtId="192" fontId="4" fillId="0" borderId="0">
      <alignment horizontal="right"/>
    </xf>
    <xf numFmtId="193" fontId="5" fillId="0" borderId="0"/>
    <xf numFmtId="0" fontId="6" fillId="3" borderId="0"/>
    <xf numFmtId="0" fontId="6" fillId="4" borderId="0"/>
    <xf numFmtId="0" fontId="6" fillId="5" borderId="0"/>
    <xf numFmtId="0" fontId="6" fillId="6" borderId="0"/>
    <xf numFmtId="0" fontId="6" fillId="7" borderId="0"/>
    <xf numFmtId="0" fontId="6" fillId="8" borderId="0"/>
    <xf numFmtId="0" fontId="6" fillId="9" borderId="0"/>
    <xf numFmtId="0" fontId="6" fillId="10" borderId="0"/>
    <xf numFmtId="0" fontId="6" fillId="11" borderId="0"/>
    <xf numFmtId="0" fontId="6" fillId="6" borderId="0"/>
    <xf numFmtId="0" fontId="6" fillId="9" borderId="0"/>
    <xf numFmtId="0" fontId="6" fillId="12" borderId="0"/>
    <xf numFmtId="0" fontId="7" fillId="13" borderId="0"/>
    <xf numFmtId="0" fontId="7" fillId="10" borderId="0"/>
    <xf numFmtId="0" fontId="7" fillId="11" borderId="0"/>
    <xf numFmtId="0" fontId="7" fillId="14" borderId="0"/>
    <xf numFmtId="0" fontId="7" fillId="15" borderId="0"/>
    <xf numFmtId="0" fontId="7" fillId="16" borderId="0"/>
    <xf numFmtId="0" fontId="7" fillId="17" borderId="0"/>
    <xf numFmtId="0" fontId="7" fillId="18" borderId="0"/>
    <xf numFmtId="0" fontId="7" fillId="19" borderId="0"/>
    <xf numFmtId="0" fontId="7" fillId="14" borderId="0"/>
    <xf numFmtId="0" fontId="7" fillId="15" borderId="0"/>
    <xf numFmtId="0" fontId="7" fillId="20" borderId="0"/>
    <xf numFmtId="0" fontId="5" fillId="0" borderId="0"/>
    <xf numFmtId="0" fontId="8" fillId="4" borderId="0"/>
    <xf numFmtId="194" fontId="9" fillId="0" borderId="0"/>
    <xf numFmtId="195" fontId="9" fillId="0" borderId="0">
      <protection locked="0"/>
    </xf>
    <xf numFmtId="0" fontId="10" fillId="0" borderId="0"/>
    <xf numFmtId="165" fontId="11" fillId="0" borderId="0">
      <alignment horizontal="center"/>
    </xf>
    <xf numFmtId="0" fontId="12" fillId="2" borderId="1"/>
    <xf numFmtId="194" fontId="9" fillId="0" borderId="0">
      <protection locked="0"/>
    </xf>
    <xf numFmtId="0" fontId="13" fillId="0" borderId="0"/>
    <xf numFmtId="194" fontId="9" fillId="0" borderId="2"/>
    <xf numFmtId="0" fontId="14" fillId="21" borderId="3"/>
    <xf numFmtId="0" fontId="15" fillId="0" borderId="0"/>
    <xf numFmtId="0" fontId="3" fillId="0" borderId="0">
      <alignment horizontal="center" wrapText="1"/>
      <protection hidden="1"/>
    </xf>
    <xf numFmtId="0" fontId="16" fillId="0" borderId="4">
      <alignment horizontal="left" vertical="center"/>
    </xf>
    <xf numFmtId="0" fontId="16" fillId="0" borderId="4">
      <alignment horizontal="right" vertical="center"/>
    </xf>
    <xf numFmtId="0" fontId="17" fillId="22" borderId="0"/>
    <xf numFmtId="196" fontId="3" fillId="0" borderId="0"/>
    <xf numFmtId="165" fontId="18" fillId="0" borderId="0"/>
    <xf numFmtId="197" fontId="18" fillId="0" borderId="0"/>
    <xf numFmtId="0" fontId="19" fillId="23" borderId="0">
      <alignment horizontal="center" vertical="center" wrapText="1"/>
    </xf>
    <xf numFmtId="198" fontId="3" fillId="0" borderId="0">
      <alignment horizontal="right"/>
      <protection locked="0"/>
    </xf>
    <xf numFmtId="0" fontId="20" fillId="0" borderId="0"/>
    <xf numFmtId="174" fontId="3" fillId="0" borderId="0"/>
    <xf numFmtId="199" fontId="20" fillId="0" borderId="5"/>
    <xf numFmtId="200" fontId="18" fillId="0" borderId="0"/>
    <xf numFmtId="201" fontId="5" fillId="0" borderId="0">
      <alignment horizontal="right"/>
    </xf>
    <xf numFmtId="202" fontId="1" fillId="2" borderId="6">
      <alignment horizontal="right"/>
    </xf>
    <xf numFmtId="203" fontId="1" fillId="2" borderId="6">
      <alignment horizontal="right"/>
    </xf>
    <xf numFmtId="202" fontId="1" fillId="2" borderId="6">
      <alignment horizontal="right"/>
    </xf>
    <xf numFmtId="204" fontId="4" fillId="0" borderId="0"/>
    <xf numFmtId="205" fontId="21" fillId="24" borderId="7"/>
    <xf numFmtId="206" fontId="4" fillId="0" borderId="0"/>
    <xf numFmtId="207" fontId="20" fillId="0" borderId="0"/>
    <xf numFmtId="205" fontId="20" fillId="24" borderId="0"/>
    <xf numFmtId="208" fontId="4" fillId="0" borderId="4"/>
    <xf numFmtId="164" fontId="22" fillId="0" borderId="0">
      <alignment horizontal="center"/>
    </xf>
    <xf numFmtId="209" fontId="22" fillId="0" borderId="0">
      <alignment horizontal="center"/>
    </xf>
    <xf numFmtId="210" fontId="5" fillId="0" borderId="0"/>
    <xf numFmtId="211" fontId="9" fillId="0" borderId="0"/>
    <xf numFmtId="212" fontId="9" fillId="0" borderId="0">
      <alignment horizontal="right"/>
    </xf>
    <xf numFmtId="212" fontId="9" fillId="0" borderId="0"/>
    <xf numFmtId="197" fontId="1" fillId="25" borderId="0"/>
    <xf numFmtId="174" fontId="1" fillId="25" borderId="0"/>
    <xf numFmtId="213" fontId="1" fillId="25" borderId="0"/>
    <xf numFmtId="214" fontId="1" fillId="0" borderId="0"/>
    <xf numFmtId="215" fontId="1" fillId="25" borderId="0"/>
    <xf numFmtId="216" fontId="10" fillId="0" borderId="0">
      <alignment horizontal="left"/>
      <protection locked="0"/>
    </xf>
    <xf numFmtId="217" fontId="1" fillId="0" borderId="0"/>
    <xf numFmtId="218" fontId="10" fillId="0" borderId="0">
      <alignment horizontal="left"/>
      <protection locked="0"/>
    </xf>
    <xf numFmtId="219" fontId="3" fillId="0" borderId="0"/>
    <xf numFmtId="0" fontId="23" fillId="0" borderId="0"/>
    <xf numFmtId="191" fontId="1" fillId="0" borderId="8"/>
    <xf numFmtId="220" fontId="1" fillId="2" borderId="6">
      <alignment horizontal="right"/>
    </xf>
    <xf numFmtId="221" fontId="1" fillId="2" borderId="6">
      <alignment horizontal="right"/>
    </xf>
    <xf numFmtId="220" fontId="1" fillId="2" borderId="6">
      <alignment horizontal="right"/>
    </xf>
    <xf numFmtId="222" fontId="9" fillId="0" borderId="0">
      <protection locked="0"/>
    </xf>
    <xf numFmtId="0" fontId="24" fillId="5" borderId="0"/>
    <xf numFmtId="223" fontId="25" fillId="0" borderId="0"/>
    <xf numFmtId="191" fontId="26" fillId="0" borderId="0">
      <alignment horizontal="left"/>
      <protection locked="0"/>
    </xf>
    <xf numFmtId="222" fontId="5" fillId="26" borderId="9"/>
    <xf numFmtId="0" fontId="27" fillId="0" borderId="10"/>
    <xf numFmtId="0" fontId="28" fillId="0" borderId="11"/>
    <xf numFmtId="0" fontId="29" fillId="0" borderId="12"/>
    <xf numFmtId="0" fontId="29" fillId="0" borderId="0"/>
    <xf numFmtId="222" fontId="30" fillId="0" borderId="0"/>
    <xf numFmtId="0" fontId="31" fillId="0" borderId="0"/>
    <xf numFmtId="194" fontId="9" fillId="0" borderId="0"/>
    <xf numFmtId="195" fontId="9" fillId="0" borderId="0">
      <alignment horizontal="right"/>
      <protection locked="0"/>
    </xf>
    <xf numFmtId="0" fontId="32" fillId="8" borderId="1"/>
    <xf numFmtId="0" fontId="20" fillId="24" borderId="0">
      <protection locked="0"/>
    </xf>
    <xf numFmtId="0" fontId="3" fillId="0" borderId="0">
      <alignment horizontal="right"/>
      <protection locked="0"/>
    </xf>
    <xf numFmtId="224" fontId="33" fillId="27" borderId="0"/>
    <xf numFmtId="0" fontId="34" fillId="0" borderId="0"/>
    <xf numFmtId="225" fontId="3" fillId="0" borderId="0">
      <alignment horizontal="right"/>
      <protection locked="0"/>
    </xf>
    <xf numFmtId="0" fontId="35" fillId="28" borderId="9">
      <alignment horizontal="left" vertical="center" wrapText="1"/>
    </xf>
    <xf numFmtId="0" fontId="36" fillId="0" borderId="13"/>
    <xf numFmtId="171" fontId="9" fillId="0" borderId="0">
      <alignment horizontal="right"/>
    </xf>
    <xf numFmtId="226" fontId="1" fillId="0" borderId="0">
      <alignment horizontal="right"/>
    </xf>
    <xf numFmtId="227" fontId="1" fillId="25" borderId="0">
      <alignment horizontal="right"/>
    </xf>
    <xf numFmtId="164" fontId="4" fillId="0" borderId="4"/>
    <xf numFmtId="228" fontId="1" fillId="0" borderId="0">
      <alignment horizontal="right"/>
    </xf>
    <xf numFmtId="226" fontId="1" fillId="0" borderId="0">
      <alignment horizontal="right"/>
    </xf>
    <xf numFmtId="191" fontId="37" fillId="0" borderId="0">
      <alignment horizontal="right"/>
    </xf>
    <xf numFmtId="191" fontId="37" fillId="0" borderId="0"/>
    <xf numFmtId="229" fontId="1" fillId="2" borderId="6">
      <alignment horizontal="right"/>
    </xf>
    <xf numFmtId="230" fontId="9" fillId="0" borderId="0"/>
    <xf numFmtId="0" fontId="38" fillId="29" borderId="14"/>
    <xf numFmtId="0" fontId="18" fillId="2" borderId="0">
      <alignment horizontal="right"/>
      <protection hidden="1"/>
    </xf>
    <xf numFmtId="0" fontId="39" fillId="26" borderId="0"/>
    <xf numFmtId="0" fontId="40" fillId="17" borderId="0"/>
    <xf numFmtId="0" fontId="41" fillId="30" borderId="0"/>
    <xf numFmtId="0" fontId="42" fillId="0" borderId="0"/>
    <xf numFmtId="0" fontId="3" fillId="0" borderId="0"/>
    <xf numFmtId="165" fontId="3" fillId="0" borderId="0"/>
    <xf numFmtId="231" fontId="3" fillId="0" borderId="0"/>
    <xf numFmtId="197" fontId="3" fillId="0" borderId="0"/>
    <xf numFmtId="184" fontId="3" fillId="0" borderId="0"/>
    <xf numFmtId="0" fontId="4" fillId="0" borderId="0"/>
    <xf numFmtId="0" fontId="20" fillId="0" borderId="0"/>
    <xf numFmtId="232" fontId="20" fillId="0" borderId="0">
      <alignment horizontal="right"/>
    </xf>
    <xf numFmtId="233" fontId="20" fillId="0" borderId="0"/>
    <xf numFmtId="0" fontId="6" fillId="24" borderId="15"/>
    <xf numFmtId="0" fontId="18" fillId="0" borderId="0"/>
    <xf numFmtId="234" fontId="3" fillId="0" borderId="0"/>
    <xf numFmtId="0" fontId="18" fillId="0" borderId="0"/>
    <xf numFmtId="0" fontId="43" fillId="2" borderId="16"/>
    <xf numFmtId="235" fontId="9" fillId="0" borderId="0">
      <alignment horizontal="right"/>
    </xf>
    <xf numFmtId="0" fontId="44" fillId="0" borderId="0"/>
    <xf numFmtId="0" fontId="20" fillId="0" borderId="0"/>
    <xf numFmtId="236" fontId="1" fillId="25" borderId="0"/>
    <xf numFmtId="9" fontId="9" fillId="0" borderId="0">
      <alignment horizontal="right"/>
    </xf>
    <xf numFmtId="237" fontId="1" fillId="0" borderId="0"/>
    <xf numFmtId="0" fontId="3" fillId="0" borderId="0"/>
    <xf numFmtId="187" fontId="3" fillId="0" borderId="0"/>
    <xf numFmtId="238" fontId="3" fillId="0" borderId="0"/>
    <xf numFmtId="239" fontId="3" fillId="0" borderId="0">
      <alignment horizontal="right"/>
      <protection locked="0"/>
    </xf>
    <xf numFmtId="223" fontId="9" fillId="0" borderId="0"/>
    <xf numFmtId="211" fontId="9" fillId="0" borderId="0"/>
    <xf numFmtId="194" fontId="9" fillId="0" borderId="0">
      <protection locked="0"/>
    </xf>
    <xf numFmtId="222" fontId="9" fillId="0" borderId="0"/>
    <xf numFmtId="195" fontId="9" fillId="0" borderId="0"/>
    <xf numFmtId="189" fontId="1" fillId="2" borderId="17">
      <alignment horizontal="right"/>
    </xf>
    <xf numFmtId="240" fontId="45" fillId="2" borderId="0"/>
    <xf numFmtId="241" fontId="1" fillId="2" borderId="0"/>
    <xf numFmtId="0" fontId="46" fillId="0" borderId="0">
      <alignment horizontal="center"/>
    </xf>
    <xf numFmtId="0" fontId="1" fillId="0" borderId="4">
      <alignment horizontal="center"/>
    </xf>
    <xf numFmtId="242" fontId="1" fillId="2" borderId="0">
      <alignment horizontal="right"/>
    </xf>
    <xf numFmtId="243" fontId="1" fillId="2" borderId="6">
      <alignment horizontal="right"/>
    </xf>
    <xf numFmtId="244" fontId="3" fillId="0" borderId="0">
      <alignment horizontal="right"/>
      <protection locked="0"/>
    </xf>
    <xf numFmtId="222" fontId="47" fillId="0" borderId="0">
      <alignment horizontal="left"/>
    </xf>
    <xf numFmtId="222" fontId="22" fillId="0" borderId="0"/>
    <xf numFmtId="0" fontId="48" fillId="0" borderId="0">
      <alignment horizontal="right" vertical="center"/>
    </xf>
    <xf numFmtId="0" fontId="49" fillId="31" borderId="0"/>
    <xf numFmtId="0" fontId="50" fillId="23" borderId="9">
      <alignment horizontal="center" vertical="center" wrapText="1"/>
      <protection hidden="1"/>
    </xf>
    <xf numFmtId="194" fontId="9" fillId="0" borderId="0">
      <protection locked="0"/>
    </xf>
    <xf numFmtId="245" fontId="22" fillId="0" borderId="0">
      <alignment horizontal="right"/>
    </xf>
    <xf numFmtId="195" fontId="3" fillId="0" borderId="0"/>
    <xf numFmtId="0" fontId="51" fillId="0" borderId="18">
      <alignment horizontal="left" vertical="top" wrapText="1"/>
    </xf>
    <xf numFmtId="0" fontId="31" fillId="0" borderId="0">
      <alignment horizontal="left" vertical="top" wrapText="1"/>
    </xf>
    <xf numFmtId="0" fontId="52" fillId="0" borderId="0">
      <alignment horizontal="left" vertical="top" wrapText="1"/>
    </xf>
    <xf numFmtId="0" fontId="53" fillId="0" borderId="0"/>
    <xf numFmtId="0" fontId="17" fillId="32" borderId="0"/>
    <xf numFmtId="0" fontId="54" fillId="0" borderId="0">
      <alignment vertical="top"/>
    </xf>
    <xf numFmtId="246" fontId="21" fillId="0" borderId="0">
      <alignment horizontal="right" wrapText="1"/>
    </xf>
    <xf numFmtId="247" fontId="21" fillId="0" borderId="0">
      <alignment horizontal="right"/>
    </xf>
    <xf numFmtId="4" fontId="20" fillId="0" borderId="0">
      <alignment horizontal="right"/>
    </xf>
    <xf numFmtId="215" fontId="55" fillId="0" borderId="0"/>
    <xf numFmtId="248" fontId="56" fillId="0" borderId="0">
      <alignment horizontal="left"/>
      <protection locked="0"/>
    </xf>
    <xf numFmtId="248" fontId="56" fillId="0" borderId="0"/>
    <xf numFmtId="248" fontId="57" fillId="0" borderId="0">
      <alignment horizontal="left"/>
      <protection locked="0"/>
    </xf>
    <xf numFmtId="248" fontId="57" fillId="0" borderId="0">
      <protection locked="0"/>
    </xf>
    <xf numFmtId="222" fontId="9" fillId="0" borderId="0">
      <protection locked="0"/>
    </xf>
    <xf numFmtId="0" fontId="54" fillId="0" borderId="0"/>
    <xf numFmtId="222" fontId="55" fillId="0" borderId="0"/>
    <xf numFmtId="0" fontId="54" fillId="0" borderId="0"/>
    <xf numFmtId="49" fontId="58" fillId="0" borderId="0"/>
    <xf numFmtId="0" fontId="59" fillId="0" borderId="0"/>
    <xf numFmtId="0" fontId="60" fillId="0" borderId="0"/>
    <xf numFmtId="0" fontId="54" fillId="0" borderId="0"/>
    <xf numFmtId="249" fontId="20" fillId="0" borderId="0">
      <alignment horizontal="right"/>
    </xf>
    <xf numFmtId="250" fontId="3" fillId="0" borderId="0"/>
    <xf numFmtId="251" fontId="3" fillId="0" borderId="0"/>
    <xf numFmtId="0" fontId="61" fillId="0" borderId="0"/>
    <xf numFmtId="0" fontId="62" fillId="33" borderId="0">
      <alignment horizontal="left" vertical="center"/>
    </xf>
    <xf numFmtId="222" fontId="63" fillId="0" borderId="0"/>
    <xf numFmtId="0" fontId="64" fillId="0" borderId="0"/>
    <xf numFmtId="0" fontId="3" fillId="0" borderId="0"/>
    <xf numFmtId="195" fontId="65" fillId="0" borderId="0">
      <alignment horizontal="left"/>
    </xf>
    <xf numFmtId="0" fontId="66" fillId="0" borderId="0"/>
    <xf numFmtId="0" fontId="67" fillId="0" borderId="19"/>
    <xf numFmtId="0" fontId="68" fillId="0" borderId="0"/>
    <xf numFmtId="1" fontId="9" fillId="0" borderId="0"/>
    <xf numFmtId="252" fontId="3" fillId="0" borderId="0"/>
    <xf numFmtId="253" fontId="20" fillId="0" borderId="0"/>
  </cellStyleXfs>
  <cellXfs count="202">
    <xf numFmtId="0" fontId="0" fillId="0" borderId="0" xfId="0"/>
    <xf numFmtId="0" fontId="69" fillId="34" borderId="0" xfId="0" applyFont="1" applyFill="1"/>
    <xf numFmtId="0" fontId="70" fillId="34" borderId="0" xfId="0" applyFont="1" applyFill="1"/>
    <xf numFmtId="0" fontId="71" fillId="34" borderId="0" xfId="0" applyFont="1" applyFill="1"/>
    <xf numFmtId="0" fontId="0" fillId="34" borderId="0" xfId="0" applyFill="1"/>
    <xf numFmtId="0" fontId="72" fillId="34" borderId="0" xfId="0" applyFont="1" applyFill="1" applyAlignment="1">
      <alignment horizontal="right"/>
    </xf>
    <xf numFmtId="164" fontId="73" fillId="0" borderId="0" xfId="0" applyNumberFormat="1" applyFont="1" applyAlignment="1">
      <alignment horizontal="left"/>
    </xf>
    <xf numFmtId="0" fontId="38" fillId="0" borderId="0" xfId="0" applyFont="1"/>
    <xf numFmtId="165" fontId="74" fillId="35" borderId="0" xfId="0" applyNumberFormat="1" applyFont="1" applyFill="1" applyAlignment="1">
      <alignment horizontal="center"/>
    </xf>
    <xf numFmtId="0" fontId="75" fillId="0" borderId="0" xfId="0" applyFont="1"/>
    <xf numFmtId="165" fontId="74" fillId="35" borderId="0" xfId="0" applyNumberFormat="1" applyFont="1" applyFill="1" applyAlignment="1">
      <alignment horizontal="center" vertical="center"/>
    </xf>
    <xf numFmtId="164" fontId="74" fillId="35" borderId="0" xfId="0" applyNumberFormat="1" applyFont="1" applyFill="1"/>
    <xf numFmtId="0" fontId="74" fillId="0" borderId="0" xfId="0" applyFont="1"/>
    <xf numFmtId="0" fontId="71" fillId="36" borderId="4" xfId="0" applyFont="1" applyFill="1" applyBorder="1"/>
    <xf numFmtId="0" fontId="0" fillId="36" borderId="4" xfId="0" applyFill="1" applyBorder="1"/>
    <xf numFmtId="0" fontId="0" fillId="36" borderId="0" xfId="0" applyFill="1"/>
    <xf numFmtId="0" fontId="74" fillId="36" borderId="0" xfId="0" applyFont="1" applyFill="1"/>
    <xf numFmtId="166" fontId="71" fillId="0" borderId="0" xfId="0" applyNumberFormat="1" applyFont="1"/>
    <xf numFmtId="167" fontId="71" fillId="0" borderId="20" xfId="0" applyNumberFormat="1" applyFont="1" applyBorder="1"/>
    <xf numFmtId="0" fontId="76" fillId="0" borderId="4" xfId="0" applyFont="1" applyBorder="1"/>
    <xf numFmtId="168" fontId="76" fillId="0" borderId="4" xfId="0" applyNumberFormat="1" applyFont="1" applyBorder="1"/>
    <xf numFmtId="0" fontId="76" fillId="0" borderId="0" xfId="0" applyFont="1"/>
    <xf numFmtId="168" fontId="77" fillId="0" borderId="0" xfId="0" applyNumberFormat="1" applyFont="1"/>
    <xf numFmtId="168" fontId="76" fillId="0" borderId="0" xfId="0" applyNumberFormat="1" applyFont="1"/>
    <xf numFmtId="165" fontId="74" fillId="0" borderId="0" xfId="0" applyNumberFormat="1" applyFont="1"/>
    <xf numFmtId="169" fontId="78" fillId="37" borderId="0" xfId="0" applyNumberFormat="1" applyFont="1" applyFill="1"/>
    <xf numFmtId="0" fontId="71" fillId="0" borderId="0" xfId="0" applyFont="1"/>
    <xf numFmtId="165" fontId="79" fillId="0" borderId="0" xfId="0" applyNumberFormat="1" applyFont="1"/>
    <xf numFmtId="165" fontId="80" fillId="37" borderId="0" xfId="0" applyNumberFormat="1" applyFont="1" applyFill="1"/>
    <xf numFmtId="165" fontId="81" fillId="37" borderId="0" xfId="0" applyNumberFormat="1" applyFont="1" applyFill="1"/>
    <xf numFmtId="0" fontId="0" fillId="0" borderId="0" xfId="0" applyAlignment="1">
      <alignment horizontal="left" indent="1"/>
    </xf>
    <xf numFmtId="0" fontId="0" fillId="38" borderId="0" xfId="0" applyFill="1"/>
    <xf numFmtId="0" fontId="81" fillId="0" borderId="0" xfId="0" applyFont="1"/>
    <xf numFmtId="0" fontId="0" fillId="0" borderId="0" xfId="0" applyAlignment="1">
      <alignment horizontal="left"/>
    </xf>
    <xf numFmtId="165" fontId="74" fillId="38" borderId="0" xfId="0" applyNumberFormat="1" applyFont="1" applyFill="1"/>
    <xf numFmtId="0" fontId="71" fillId="0" borderId="0" xfId="0" applyFont="1" applyAlignment="1">
      <alignment horizontal="left"/>
    </xf>
    <xf numFmtId="165" fontId="79" fillId="38" borderId="0" xfId="0" applyNumberFormat="1" applyFont="1" applyFill="1"/>
    <xf numFmtId="0" fontId="82" fillId="0" borderId="0" xfId="0" applyFont="1"/>
    <xf numFmtId="0" fontId="38" fillId="29" borderId="0" xfId="0" applyFont="1" applyFill="1"/>
    <xf numFmtId="170" fontId="38" fillId="37" borderId="0" xfId="0" applyNumberFormat="1" applyFont="1" applyFill="1"/>
    <xf numFmtId="171" fontId="78" fillId="37" borderId="0" xfId="0" applyNumberFormat="1" applyFont="1" applyFill="1"/>
    <xf numFmtId="172" fontId="74" fillId="0" borderId="0" xfId="0" applyNumberFormat="1" applyFont="1"/>
    <xf numFmtId="168" fontId="76" fillId="36" borderId="4" xfId="0" applyNumberFormat="1" applyFont="1" applyFill="1" applyBorder="1"/>
    <xf numFmtId="168" fontId="76" fillId="36" borderId="0" xfId="0" applyNumberFormat="1" applyFont="1" applyFill="1"/>
    <xf numFmtId="164" fontId="76" fillId="0" borderId="0" xfId="0" applyNumberFormat="1" applyFont="1"/>
    <xf numFmtId="166" fontId="79" fillId="0" borderId="0" xfId="0" applyNumberFormat="1" applyFont="1"/>
    <xf numFmtId="166" fontId="79" fillId="0" borderId="20" xfId="0" applyNumberFormat="1" applyFont="1" applyBorder="1"/>
    <xf numFmtId="167" fontId="79" fillId="0" borderId="20" xfId="0" applyNumberFormat="1" applyFont="1" applyBorder="1"/>
    <xf numFmtId="0" fontId="0" fillId="0" borderId="4" xfId="0" applyBorder="1"/>
    <xf numFmtId="168" fontId="73" fillId="0" borderId="4" xfId="0" applyNumberFormat="1" applyFont="1" applyBorder="1"/>
    <xf numFmtId="165" fontId="0" fillId="0" borderId="0" xfId="0" applyNumberFormat="1"/>
    <xf numFmtId="3" fontId="81" fillId="0" borderId="0" xfId="0" applyNumberFormat="1" applyFont="1"/>
    <xf numFmtId="0" fontId="79" fillId="0" borderId="0" xfId="0" applyFont="1"/>
    <xf numFmtId="165" fontId="38" fillId="0" borderId="0" xfId="0" applyNumberFormat="1" applyFont="1"/>
    <xf numFmtId="165" fontId="71" fillId="0" borderId="0" xfId="0" applyNumberFormat="1" applyFont="1"/>
    <xf numFmtId="165" fontId="76" fillId="0" borderId="0" xfId="0" applyNumberFormat="1" applyFont="1"/>
    <xf numFmtId="173" fontId="79" fillId="0" borderId="0" xfId="0" applyNumberFormat="1" applyFont="1"/>
    <xf numFmtId="3" fontId="0" fillId="0" borderId="0" xfId="0" applyNumberFormat="1"/>
    <xf numFmtId="165" fontId="0" fillId="37" borderId="0" xfId="0" applyNumberFormat="1" applyFill="1"/>
    <xf numFmtId="165" fontId="71" fillId="37" borderId="0" xfId="0" applyNumberFormat="1" applyFont="1" applyFill="1"/>
    <xf numFmtId="165" fontId="74" fillId="0" borderId="21" xfId="0" applyNumberFormat="1" applyFont="1" applyBorder="1"/>
    <xf numFmtId="0" fontId="0" fillId="0" borderId="21" xfId="0" applyBorder="1" applyAlignment="1">
      <alignment horizontal="left" indent="1"/>
    </xf>
    <xf numFmtId="165" fontId="0" fillId="37" borderId="21" xfId="0" applyNumberFormat="1" applyFill="1" applyBorder="1"/>
    <xf numFmtId="0" fontId="71" fillId="0" borderId="0" xfId="0" applyFont="1" applyAlignment="1">
      <alignment horizontal="left" indent="1"/>
    </xf>
    <xf numFmtId="9" fontId="0" fillId="0" borderId="0" xfId="0" applyNumberFormat="1"/>
    <xf numFmtId="172" fontId="0" fillId="0" borderId="0" xfId="0" applyNumberFormat="1"/>
    <xf numFmtId="172" fontId="38" fillId="37" borderId="0" xfId="0" applyNumberFormat="1" applyFont="1" applyFill="1"/>
    <xf numFmtId="172" fontId="38" fillId="0" borderId="0" xfId="0" applyNumberFormat="1" applyFont="1"/>
    <xf numFmtId="165" fontId="38" fillId="37" borderId="0" xfId="0" applyNumberFormat="1" applyFont="1" applyFill="1"/>
    <xf numFmtId="170" fontId="0" fillId="0" borderId="0" xfId="0" applyNumberFormat="1"/>
    <xf numFmtId="165" fontId="79" fillId="37" borderId="0" xfId="0" applyNumberFormat="1" applyFont="1" applyFill="1"/>
    <xf numFmtId="165" fontId="38" fillId="37" borderId="20" xfId="0" applyNumberFormat="1" applyFont="1" applyFill="1" applyBorder="1"/>
    <xf numFmtId="0" fontId="0" fillId="0" borderId="21" xfId="0" applyBorder="1"/>
    <xf numFmtId="165" fontId="38" fillId="37" borderId="21" xfId="0" applyNumberFormat="1" applyFont="1" applyFill="1" applyBorder="1"/>
    <xf numFmtId="170" fontId="74" fillId="0" borderId="0" xfId="0" applyNumberFormat="1" applyFont="1"/>
    <xf numFmtId="165" fontId="74" fillId="35" borderId="0" xfId="0" applyNumberFormat="1" applyFont="1" applyFill="1"/>
    <xf numFmtId="165" fontId="74" fillId="35" borderId="21" xfId="0" applyNumberFormat="1" applyFont="1" applyFill="1" applyBorder="1"/>
    <xf numFmtId="10" fontId="38" fillId="29" borderId="0" xfId="0" applyNumberFormat="1" applyFont="1" applyFill="1"/>
    <xf numFmtId="10" fontId="74" fillId="35" borderId="0" xfId="0" applyNumberFormat="1" applyFont="1" applyFill="1"/>
    <xf numFmtId="0" fontId="0" fillId="0" borderId="20" xfId="0" applyBorder="1"/>
    <xf numFmtId="0" fontId="71" fillId="0" borderId="20" xfId="0" applyFont="1" applyBorder="1"/>
    <xf numFmtId="0" fontId="83" fillId="35" borderId="0" xfId="0" applyFont="1" applyFill="1"/>
    <xf numFmtId="0" fontId="0" fillId="0" borderId="22" xfId="0" applyBorder="1"/>
    <xf numFmtId="0" fontId="0" fillId="0" borderId="23" xfId="0" applyBorder="1"/>
    <xf numFmtId="0" fontId="0" fillId="0" borderId="24" xfId="0" applyBorder="1"/>
    <xf numFmtId="169" fontId="0" fillId="37" borderId="0" xfId="0" applyNumberFormat="1" applyFill="1"/>
    <xf numFmtId="171" fontId="0" fillId="37" borderId="0" xfId="0" applyNumberFormat="1" applyFill="1"/>
    <xf numFmtId="9" fontId="74" fillId="35" borderId="24" xfId="0" applyNumberFormat="1" applyFont="1" applyFill="1" applyBorder="1"/>
    <xf numFmtId="169" fontId="74" fillId="0" borderId="0" xfId="0" applyNumberFormat="1" applyFont="1"/>
    <xf numFmtId="169" fontId="0" fillId="0" borderId="24" xfId="0" applyNumberFormat="1" applyBorder="1"/>
    <xf numFmtId="169" fontId="78" fillId="0" borderId="0" xfId="0" applyNumberFormat="1" applyFont="1"/>
    <xf numFmtId="0" fontId="80" fillId="0" borderId="0" xfId="0" applyFont="1"/>
    <xf numFmtId="169" fontId="0" fillId="0" borderId="0" xfId="0" applyNumberFormat="1"/>
    <xf numFmtId="10" fontId="0" fillId="0" borderId="0" xfId="0" applyNumberFormat="1"/>
    <xf numFmtId="171" fontId="74" fillId="35" borderId="24" xfId="0" applyNumberFormat="1" applyFont="1" applyFill="1" applyBorder="1"/>
    <xf numFmtId="0" fontId="71" fillId="36" borderId="0" xfId="0" applyFont="1" applyFill="1"/>
    <xf numFmtId="166" fontId="71" fillId="0" borderId="20" xfId="0" applyNumberFormat="1" applyFont="1" applyBorder="1"/>
    <xf numFmtId="172" fontId="81" fillId="0" borderId="0" xfId="0" applyNumberFormat="1" applyFont="1"/>
    <xf numFmtId="172" fontId="81" fillId="37" borderId="0" xfId="0" applyNumberFormat="1" applyFont="1" applyFill="1"/>
    <xf numFmtId="10" fontId="80" fillId="36" borderId="0" xfId="0" applyNumberFormat="1" applyFont="1" applyFill="1" applyAlignment="1">
      <alignment horizontal="right"/>
    </xf>
    <xf numFmtId="165" fontId="74" fillId="35" borderId="21" xfId="0" applyNumberFormat="1" applyFont="1" applyFill="1" applyBorder="1" applyAlignment="1">
      <alignment horizontal="center"/>
    </xf>
    <xf numFmtId="0" fontId="84" fillId="0" borderId="0" xfId="1"/>
    <xf numFmtId="170" fontId="74" fillId="35" borderId="0" xfId="0" applyNumberFormat="1" applyFont="1" applyFill="1"/>
    <xf numFmtId="174" fontId="78" fillId="0" borderId="0" xfId="0" applyNumberFormat="1" applyFont="1" applyAlignment="1">
      <alignment horizontal="right"/>
    </xf>
    <xf numFmtId="174" fontId="78" fillId="36" borderId="0" xfId="0" applyNumberFormat="1" applyFont="1" applyFill="1" applyAlignment="1">
      <alignment horizontal="right"/>
    </xf>
    <xf numFmtId="0" fontId="0" fillId="36" borderId="21" xfId="0" applyFill="1" applyBorder="1"/>
    <xf numFmtId="0" fontId="82" fillId="0" borderId="20" xfId="0" applyFon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75" fontId="71" fillId="0" borderId="25" xfId="0" applyNumberFormat="1" applyFont="1" applyBorder="1"/>
    <xf numFmtId="176" fontId="71" fillId="0" borderId="0" xfId="0" applyNumberFormat="1" applyFont="1"/>
    <xf numFmtId="177" fontId="78" fillId="0" borderId="0" xfId="0" applyNumberFormat="1" applyFont="1"/>
    <xf numFmtId="172" fontId="74" fillId="35" borderId="0" xfId="0" applyNumberFormat="1" applyFont="1" applyFill="1"/>
    <xf numFmtId="169" fontId="80" fillId="0" borderId="0" xfId="0" applyNumberFormat="1" applyFont="1"/>
    <xf numFmtId="177" fontId="79" fillId="37" borderId="26" xfId="0" applyNumberFormat="1" applyFont="1" applyFill="1" applyBorder="1"/>
    <xf numFmtId="177" fontId="38" fillId="0" borderId="0" xfId="0" applyNumberFormat="1" applyFont="1"/>
    <xf numFmtId="177" fontId="38" fillId="37" borderId="0" xfId="0" applyNumberFormat="1" applyFont="1" applyFill="1"/>
    <xf numFmtId="177" fontId="0" fillId="0" borderId="0" xfId="0" applyNumberFormat="1"/>
    <xf numFmtId="177" fontId="74" fillId="0" borderId="0" xfId="0" applyNumberFormat="1" applyFont="1"/>
    <xf numFmtId="177" fontId="79" fillId="0" borderId="0" xfId="0" applyNumberFormat="1" applyFont="1"/>
    <xf numFmtId="177" fontId="79" fillId="37" borderId="0" xfId="0" applyNumberFormat="1" applyFont="1" applyFill="1"/>
    <xf numFmtId="0" fontId="38" fillId="0" borderId="0" xfId="0" applyFont="1" applyAlignment="1">
      <alignment horizontal="center"/>
    </xf>
    <xf numFmtId="164" fontId="0" fillId="0" borderId="0" xfId="0" applyNumberFormat="1"/>
    <xf numFmtId="170" fontId="0" fillId="37" borderId="0" xfId="0" applyNumberFormat="1" applyFill="1"/>
    <xf numFmtId="176" fontId="0" fillId="0" borderId="0" xfId="0" applyNumberFormat="1"/>
    <xf numFmtId="177" fontId="0" fillId="37" borderId="0" xfId="0" applyNumberFormat="1" applyFill="1"/>
    <xf numFmtId="177" fontId="71" fillId="37" borderId="0" xfId="0" applyNumberFormat="1" applyFont="1" applyFill="1"/>
    <xf numFmtId="0" fontId="76" fillId="0" borderId="0" xfId="0" applyFont="1" applyAlignment="1">
      <alignment horizontal="left"/>
    </xf>
    <xf numFmtId="170" fontId="76" fillId="37" borderId="0" xfId="0" applyNumberFormat="1" applyFont="1" applyFill="1"/>
    <xf numFmtId="178" fontId="76" fillId="37" borderId="0" xfId="0" applyNumberFormat="1" applyFont="1" applyFill="1"/>
    <xf numFmtId="0" fontId="86" fillId="0" borderId="0" xfId="0" applyFont="1" applyAlignment="1">
      <alignment horizontal="left"/>
    </xf>
    <xf numFmtId="3" fontId="86" fillId="0" borderId="0" xfId="0" applyNumberFormat="1" applyFont="1" applyAlignment="1">
      <alignment horizontal="left"/>
    </xf>
    <xf numFmtId="3" fontId="87" fillId="0" borderId="0" xfId="0" applyNumberFormat="1" applyFont="1" applyAlignment="1">
      <alignment horizontal="left"/>
    </xf>
    <xf numFmtId="179" fontId="87" fillId="0" borderId="0" xfId="0" applyNumberFormat="1" applyFont="1" applyAlignment="1">
      <alignment horizontal="left"/>
    </xf>
    <xf numFmtId="0" fontId="85" fillId="0" borderId="0" xfId="0" applyFont="1" applyAlignment="1">
      <alignment horizontal="left"/>
    </xf>
    <xf numFmtId="3" fontId="85" fillId="0" borderId="20" xfId="0" applyNumberFormat="1" applyFont="1" applyBorder="1" applyAlignment="1">
      <alignment horizontal="left"/>
    </xf>
    <xf numFmtId="180" fontId="85" fillId="0" borderId="20" xfId="0" applyNumberFormat="1" applyFont="1" applyBorder="1" applyAlignment="1">
      <alignment horizontal="left"/>
    </xf>
    <xf numFmtId="180" fontId="86" fillId="0" borderId="0" xfId="0" applyNumberFormat="1" applyFont="1" applyAlignment="1">
      <alignment horizontal="left"/>
    </xf>
    <xf numFmtId="181" fontId="86" fillId="0" borderId="0" xfId="0" applyNumberFormat="1" applyFont="1" applyAlignment="1">
      <alignment horizontal="left"/>
    </xf>
    <xf numFmtId="171" fontId="85" fillId="0" borderId="4" xfId="0" applyNumberFormat="1" applyFont="1" applyBorder="1" applyAlignment="1">
      <alignment horizontal="right"/>
    </xf>
    <xf numFmtId="171" fontId="85" fillId="0" borderId="0" xfId="0" applyNumberFormat="1" applyFont="1" applyAlignment="1">
      <alignment horizontal="right"/>
    </xf>
    <xf numFmtId="182" fontId="86" fillId="0" borderId="0" xfId="0" applyNumberFormat="1" applyFont="1" applyAlignment="1">
      <alignment horizontal="left"/>
    </xf>
    <xf numFmtId="182" fontId="85" fillId="37" borderId="0" xfId="0" applyNumberFormat="1" applyFont="1" applyFill="1" applyAlignment="1">
      <alignment horizontal="left"/>
    </xf>
    <xf numFmtId="0" fontId="88" fillId="0" borderId="0" xfId="0" applyFont="1" applyAlignment="1">
      <alignment horizontal="left"/>
    </xf>
    <xf numFmtId="0" fontId="79" fillId="0" borderId="0" xfId="0" applyFont="1" applyAlignment="1">
      <alignment horizontal="right"/>
    </xf>
    <xf numFmtId="0" fontId="82" fillId="0" borderId="0" xfId="0" applyFont="1" applyAlignment="1">
      <alignment horizontal="left"/>
    </xf>
    <xf numFmtId="183" fontId="78" fillId="35" borderId="0" xfId="0" applyNumberFormat="1" applyFont="1" applyFill="1"/>
    <xf numFmtId="183" fontId="38" fillId="37" borderId="0" xfId="0" applyNumberFormat="1" applyFont="1" applyFill="1"/>
    <xf numFmtId="184" fontId="74" fillId="35" borderId="0" xfId="0" applyNumberFormat="1" applyFont="1" applyFill="1"/>
    <xf numFmtId="10" fontId="38" fillId="37" borderId="0" xfId="0" applyNumberFormat="1" applyFont="1" applyFill="1"/>
    <xf numFmtId="171" fontId="38" fillId="0" borderId="0" xfId="0" applyNumberFormat="1" applyFont="1"/>
    <xf numFmtId="0" fontId="71" fillId="0" borderId="4" xfId="0" applyFont="1" applyBorder="1"/>
    <xf numFmtId="0" fontId="0" fillId="0" borderId="0" xfId="0" applyAlignment="1">
      <alignment horizontal="right"/>
    </xf>
    <xf numFmtId="171" fontId="38" fillId="0" borderId="0" xfId="0" applyNumberFormat="1" applyFont="1" applyAlignment="1">
      <alignment horizontal="right"/>
    </xf>
    <xf numFmtId="185" fontId="78" fillId="37" borderId="0" xfId="0" applyNumberFormat="1" applyFont="1" applyFill="1"/>
    <xf numFmtId="172" fontId="0" fillId="37" borderId="0" xfId="0" applyNumberFormat="1" applyFill="1"/>
    <xf numFmtId="0" fontId="89" fillId="0" borderId="0" xfId="0" applyFont="1"/>
    <xf numFmtId="0" fontId="90" fillId="0" borderId="0" xfId="0" applyFont="1"/>
    <xf numFmtId="0" fontId="71" fillId="0" borderId="27" xfId="0" applyFont="1" applyBorder="1"/>
    <xf numFmtId="0" fontId="71" fillId="0" borderId="23" xfId="0" applyFont="1" applyBorder="1"/>
    <xf numFmtId="172" fontId="71" fillId="36" borderId="28" xfId="0" applyNumberFormat="1" applyFont="1" applyFill="1" applyBorder="1"/>
    <xf numFmtId="0" fontId="91" fillId="0" borderId="0" xfId="0" applyFont="1"/>
    <xf numFmtId="0" fontId="92" fillId="0" borderId="0" xfId="0" applyFont="1"/>
    <xf numFmtId="9" fontId="93" fillId="39" borderId="0" xfId="0" applyNumberFormat="1" applyFont="1" applyFill="1"/>
    <xf numFmtId="171" fontId="94" fillId="0" borderId="0" xfId="0" applyNumberFormat="1" applyFont="1"/>
    <xf numFmtId="171" fontId="93" fillId="39" borderId="0" xfId="0" applyNumberFormat="1" applyFont="1" applyFill="1"/>
    <xf numFmtId="0" fontId="95" fillId="34" borderId="0" xfId="0" applyFont="1" applyFill="1"/>
    <xf numFmtId="0" fontId="92" fillId="0" borderId="0" xfId="0" applyFont="1" applyAlignment="1">
      <alignment horizontal="left"/>
    </xf>
    <xf numFmtId="9" fontId="93" fillId="39" borderId="0" xfId="0" applyNumberFormat="1" applyFont="1" applyFill="1" applyAlignment="1">
      <alignment horizontal="left"/>
    </xf>
    <xf numFmtId="0" fontId="96" fillId="0" borderId="0" xfId="0" applyFont="1" applyAlignment="1">
      <alignment horizontal="left"/>
    </xf>
    <xf numFmtId="171" fontId="92" fillId="0" borderId="0" xfId="0" applyNumberFormat="1" applyFont="1" applyAlignment="1">
      <alignment horizontal="left"/>
    </xf>
    <xf numFmtId="3" fontId="92" fillId="0" borderId="0" xfId="0" applyNumberFormat="1" applyFont="1" applyAlignment="1">
      <alignment horizontal="left"/>
    </xf>
    <xf numFmtId="0" fontId="91" fillId="0" borderId="0" xfId="0" applyFont="1" applyAlignment="1">
      <alignment horizontal="left"/>
    </xf>
    <xf numFmtId="3" fontId="91" fillId="0" borderId="0" xfId="0" applyNumberFormat="1" applyFont="1" applyAlignment="1">
      <alignment horizontal="left"/>
    </xf>
    <xf numFmtId="1" fontId="81" fillId="37" borderId="0" xfId="0" applyNumberFormat="1" applyFont="1" applyFill="1"/>
    <xf numFmtId="0" fontId="97" fillId="0" borderId="0" xfId="0" applyFont="1" applyAlignment="1">
      <alignment horizontal="left"/>
    </xf>
    <xf numFmtId="0" fontId="98" fillId="0" borderId="0" xfId="0" applyFont="1"/>
    <xf numFmtId="0" fontId="99" fillId="34" borderId="0" xfId="0" applyFont="1" applyFill="1"/>
    <xf numFmtId="0" fontId="100" fillId="34" borderId="0" xfId="0" applyFont="1" applyFill="1" applyAlignment="1">
      <alignment horizontal="right"/>
    </xf>
    <xf numFmtId="0" fontId="97" fillId="0" borderId="0" xfId="0" applyFont="1"/>
    <xf numFmtId="254" fontId="97" fillId="0" borderId="0" xfId="0" applyNumberFormat="1" applyFont="1" applyAlignment="1">
      <alignment horizontal="left"/>
    </xf>
    <xf numFmtId="0" fontId="101" fillId="0" borderId="4" xfId="0" applyFont="1" applyBorder="1"/>
    <xf numFmtId="0" fontId="101" fillId="37" borderId="0" xfId="0" applyFont="1" applyFill="1"/>
    <xf numFmtId="180" fontId="101" fillId="37" borderId="0" xfId="0" applyNumberFormat="1" applyFont="1" applyFill="1" applyAlignment="1">
      <alignment horizontal="right"/>
    </xf>
    <xf numFmtId="180" fontId="97" fillId="0" borderId="0" xfId="0" applyNumberFormat="1" applyFont="1" applyAlignment="1">
      <alignment horizontal="right"/>
    </xf>
    <xf numFmtId="181" fontId="97" fillId="0" borderId="0" xfId="0" applyNumberFormat="1" applyFont="1" applyAlignment="1">
      <alignment horizontal="right"/>
    </xf>
    <xf numFmtId="3" fontId="97" fillId="0" borderId="0" xfId="0" applyNumberFormat="1" applyFont="1" applyAlignment="1">
      <alignment horizontal="right"/>
    </xf>
    <xf numFmtId="171" fontId="97" fillId="0" borderId="0" xfId="0" applyNumberFormat="1" applyFont="1" applyAlignment="1">
      <alignment horizontal="right"/>
    </xf>
    <xf numFmtId="255" fontId="97" fillId="0" borderId="0" xfId="0" applyNumberFormat="1" applyFont="1" applyAlignment="1">
      <alignment horizontal="right"/>
    </xf>
    <xf numFmtId="0" fontId="102" fillId="0" borderId="0" xfId="0" applyFont="1" applyAlignment="1">
      <alignment horizontal="left" indent="1"/>
    </xf>
    <xf numFmtId="10" fontId="97" fillId="0" borderId="0" xfId="0" applyNumberFormat="1" applyFont="1" applyAlignment="1">
      <alignment horizontal="right"/>
    </xf>
    <xf numFmtId="9" fontId="97" fillId="0" borderId="0" xfId="0" applyNumberFormat="1" applyFont="1" applyAlignment="1">
      <alignment horizontal="right"/>
    </xf>
    <xf numFmtId="0" fontId="101" fillId="0" borderId="0" xfId="0" applyFont="1" applyAlignment="1">
      <alignment horizontal="right"/>
    </xf>
    <xf numFmtId="182" fontId="97" fillId="0" borderId="0" xfId="0" applyNumberFormat="1" applyFont="1" applyAlignment="1">
      <alignment horizontal="right"/>
    </xf>
    <xf numFmtId="256" fontId="97" fillId="0" borderId="0" xfId="0" applyNumberFormat="1" applyFont="1" applyAlignment="1">
      <alignment horizontal="right"/>
    </xf>
    <xf numFmtId="171" fontId="101" fillId="0" borderId="0" xfId="0" applyNumberFormat="1" applyFont="1" applyAlignment="1">
      <alignment horizontal="right"/>
    </xf>
    <xf numFmtId="182" fontId="101" fillId="37" borderId="0" xfId="0" applyNumberFormat="1" applyFont="1" applyFill="1" applyAlignment="1">
      <alignment horizontal="right"/>
    </xf>
    <xf numFmtId="0" fontId="101" fillId="0" borderId="0" xfId="0" applyFont="1"/>
    <xf numFmtId="0" fontId="102" fillId="0" borderId="0" xfId="0" applyFont="1" applyAlignment="1">
      <alignment vertical="top" wrapText="1"/>
    </xf>
    <xf numFmtId="0" fontId="0" fillId="0" borderId="0" xfId="0"/>
    <xf numFmtId="0" fontId="97" fillId="0" borderId="0" xfId="0" applyFont="1" applyAlignment="1">
      <alignment vertical="top" wrapText="1"/>
    </xf>
    <xf numFmtId="0" fontId="71" fillId="0" borderId="20" xfId="0" applyFont="1" applyBorder="1" applyAlignment="1">
      <alignment horizontal="center"/>
    </xf>
    <xf numFmtId="0" fontId="0" fillId="0" borderId="20" xfId="0" applyBorder="1"/>
  </cellXfs>
  <cellStyles count="210">
    <cellStyle name="$" xfId="2" xr:uid="{00000000-0005-0000-0000-000002000000}"/>
    <cellStyle name="$m" xfId="3" xr:uid="{00000000-0005-0000-0000-000003000000}"/>
    <cellStyle name="$q" xfId="4" xr:uid="{00000000-0005-0000-0000-000004000000}"/>
    <cellStyle name="$q*" xfId="5" xr:uid="{00000000-0005-0000-0000-000005000000}"/>
    <cellStyle name="$qA" xfId="6" xr:uid="{00000000-0005-0000-0000-000006000000}"/>
    <cellStyle name="$qRange" xfId="7" xr:uid="{00000000-0005-0000-0000-000007000000}"/>
    <cellStyle name="%" xfId="8" xr:uid="{00000000-0005-0000-0000-000008000000}"/>
    <cellStyle name="******************************************" xfId="9" xr:uid="{00000000-0005-0000-0000-000009000000}"/>
    <cellStyle name="10Q" xfId="10" xr:uid="{00000000-0005-0000-0000-00000A000000}"/>
    <cellStyle name="2 Decimal Places_MA Software Comps - List_AccretionDilution OTGS v16.xls Chart 1" xfId="11" xr:uid="{00000000-0005-0000-0000-00000B000000}"/>
    <cellStyle name="20% - Accent1 2" xfId="12" xr:uid="{00000000-0005-0000-0000-00000C000000}"/>
    <cellStyle name="20% - Accent2 2" xfId="13" xr:uid="{00000000-0005-0000-0000-00000D000000}"/>
    <cellStyle name="20% - Accent3 2" xfId="14" xr:uid="{00000000-0005-0000-0000-00000E000000}"/>
    <cellStyle name="20% - Accent4 2" xfId="15" xr:uid="{00000000-0005-0000-0000-00000F000000}"/>
    <cellStyle name="20% - Accent5 2" xfId="16" xr:uid="{00000000-0005-0000-0000-000010000000}"/>
    <cellStyle name="20% - Accent6 2" xfId="17" xr:uid="{00000000-0005-0000-0000-000011000000}"/>
    <cellStyle name="40% - Accent1 2" xfId="18" xr:uid="{00000000-0005-0000-0000-000012000000}"/>
    <cellStyle name="40% - Accent2 2" xfId="19" xr:uid="{00000000-0005-0000-0000-000013000000}"/>
    <cellStyle name="40% - Accent3 2" xfId="20" xr:uid="{00000000-0005-0000-0000-000014000000}"/>
    <cellStyle name="40% - Accent4 2" xfId="21" xr:uid="{00000000-0005-0000-0000-000015000000}"/>
    <cellStyle name="40% - Accent5 2" xfId="22" xr:uid="{00000000-0005-0000-0000-000016000000}"/>
    <cellStyle name="40% - Accent6 2" xfId="23" xr:uid="{00000000-0005-0000-0000-000017000000}"/>
    <cellStyle name="60% - Accent1 2" xfId="24" xr:uid="{00000000-0005-0000-0000-000018000000}"/>
    <cellStyle name="60% - Accent2 2" xfId="25" xr:uid="{00000000-0005-0000-0000-000019000000}"/>
    <cellStyle name="60% - Accent3 2" xfId="26" xr:uid="{00000000-0005-0000-0000-00001A000000}"/>
    <cellStyle name="60% - Accent4 2" xfId="27" xr:uid="{00000000-0005-0000-0000-00001B000000}"/>
    <cellStyle name="60% - Accent5 2" xfId="28" xr:uid="{00000000-0005-0000-0000-00001C000000}"/>
    <cellStyle name="60% - Accent6 2" xfId="29" xr:uid="{00000000-0005-0000-0000-00001D000000}"/>
    <cellStyle name="Accent1 2" xfId="30" xr:uid="{00000000-0005-0000-0000-00001E000000}"/>
    <cellStyle name="Accent2 2" xfId="31" xr:uid="{00000000-0005-0000-0000-00001F000000}"/>
    <cellStyle name="Accent3 2" xfId="32" xr:uid="{00000000-0005-0000-0000-000020000000}"/>
    <cellStyle name="Accent4 2" xfId="33" xr:uid="{00000000-0005-0000-0000-000021000000}"/>
    <cellStyle name="Accent5 2" xfId="34" xr:uid="{00000000-0005-0000-0000-000022000000}"/>
    <cellStyle name="Accent6 2" xfId="35" xr:uid="{00000000-0005-0000-0000-000023000000}"/>
    <cellStyle name="AFE" xfId="36" xr:uid="{00000000-0005-0000-0000-000024000000}"/>
    <cellStyle name="Bad 2" xfId="37" xr:uid="{00000000-0005-0000-0000-000025000000}"/>
    <cellStyle name="Balance" xfId="38" xr:uid="{00000000-0005-0000-0000-000026000000}"/>
    <cellStyle name="BalanceSheet" xfId="39" xr:uid="{00000000-0005-0000-0000-000027000000}"/>
    <cellStyle name="Body_$Numeric" xfId="40" xr:uid="{00000000-0005-0000-0000-000028000000}"/>
    <cellStyle name="Bold Header" xfId="41" xr:uid="{00000000-0005-0000-0000-000029000000}"/>
    <cellStyle name="Calculation 2" xfId="42" xr:uid="{00000000-0005-0000-0000-00002A000000}"/>
    <cellStyle name="CashFlow" xfId="43" xr:uid="{00000000-0005-0000-0000-00002B000000}"/>
    <cellStyle name="ChartingText" xfId="44" xr:uid="{00000000-0005-0000-0000-00002C000000}"/>
    <cellStyle name="Check" xfId="45" xr:uid="{00000000-0005-0000-0000-00002D000000}"/>
    <cellStyle name="Check Cell 2" xfId="46" xr:uid="{00000000-0005-0000-0000-00002E000000}"/>
    <cellStyle name="CHPTop" xfId="47" xr:uid="{00000000-0005-0000-0000-00002F000000}"/>
    <cellStyle name="ColHeading" xfId="48" xr:uid="{00000000-0005-0000-0000-000030000000}"/>
    <cellStyle name="colheadleft" xfId="49" xr:uid="{00000000-0005-0000-0000-000031000000}"/>
    <cellStyle name="colheadright" xfId="50" xr:uid="{00000000-0005-0000-0000-000032000000}"/>
    <cellStyle name="ColumnHeaderNormal" xfId="51" xr:uid="{00000000-0005-0000-0000-000033000000}"/>
    <cellStyle name="Comma 2" xfId="52" xr:uid="{00000000-0005-0000-0000-000034000000}"/>
    <cellStyle name="Comma0" xfId="53" xr:uid="{00000000-0005-0000-0000-000035000000}"/>
    <cellStyle name="Comma2" xfId="54" xr:uid="{00000000-0005-0000-0000-000036000000}"/>
    <cellStyle name="Company" xfId="55" xr:uid="{00000000-0005-0000-0000-000037000000}"/>
    <cellStyle name="CurRatio" xfId="56" xr:uid="{00000000-0005-0000-0000-000038000000}"/>
    <cellStyle name="Currency--" xfId="59" xr:uid="{00000000-0005-0000-0000-00003B000000}"/>
    <cellStyle name="Currency [1]" xfId="57" xr:uid="{00000000-0005-0000-0000-000039000000}"/>
    <cellStyle name="Currency [2]" xfId="58" xr:uid="{00000000-0005-0000-0000-00003A000000}"/>
    <cellStyle name="Currency0" xfId="60" xr:uid="{00000000-0005-0000-0000-00003C000000}"/>
    <cellStyle name="Currency2" xfId="61" xr:uid="{00000000-0005-0000-0000-00003D000000}"/>
    <cellStyle name="d_yield" xfId="62" xr:uid="{00000000-0005-0000-0000-00003E000000}"/>
    <cellStyle name="d_yield_CW's MAKER MODEL" xfId="63" xr:uid="{00000000-0005-0000-0000-00003F000000}"/>
    <cellStyle name="d_yield_valuation" xfId="64" xr:uid="{00000000-0005-0000-0000-000040000000}"/>
    <cellStyle name="Date [d-mmm-yy]" xfId="65" xr:uid="{00000000-0005-0000-0000-000041000000}"/>
    <cellStyle name="Date [mm-dd-yy]" xfId="67" xr:uid="{00000000-0005-0000-0000-000043000000}"/>
    <cellStyle name="Date [mm-dd-yyyy]" xfId="68" xr:uid="{00000000-0005-0000-0000-000044000000}"/>
    <cellStyle name="Date [mm-d-yyyy]" xfId="66" xr:uid="{00000000-0005-0000-0000-000042000000}"/>
    <cellStyle name="Date [mmm-d-yyyy]" xfId="69" xr:uid="{00000000-0005-0000-0000-000045000000}"/>
    <cellStyle name="Date [mmm-yyyy]" xfId="70" xr:uid="{00000000-0005-0000-0000-000046000000}"/>
    <cellStyle name="Dates" xfId="71" xr:uid="{00000000-0005-0000-0000-000047000000}"/>
    <cellStyle name="DateYear" xfId="72" xr:uid="{00000000-0005-0000-0000-000048000000}"/>
    <cellStyle name="Dezimal_Capital expenditure planning FY 2000" xfId="73" xr:uid="{00000000-0005-0000-0000-000049000000}"/>
    <cellStyle name="Dollar" xfId="74" xr:uid="{00000000-0005-0000-0000-00004A000000}"/>
    <cellStyle name="Dollars" xfId="75" xr:uid="{00000000-0005-0000-0000-00004B000000}"/>
    <cellStyle name="DollarWhole" xfId="76" xr:uid="{00000000-0005-0000-0000-00004C000000}"/>
    <cellStyle name="eps" xfId="77" xr:uid="{00000000-0005-0000-0000-00004D000000}"/>
    <cellStyle name="eps$" xfId="78" xr:uid="{00000000-0005-0000-0000-00004E000000}"/>
    <cellStyle name="eps$A" xfId="79" xr:uid="{00000000-0005-0000-0000-00004F000000}"/>
    <cellStyle name="eps$E" xfId="80" xr:uid="{00000000-0005-0000-0000-000050000000}"/>
    <cellStyle name="epsA" xfId="81" xr:uid="{00000000-0005-0000-0000-000051000000}"/>
    <cellStyle name="EPSActual" xfId="82" xr:uid="{00000000-0005-0000-0000-000052000000}"/>
    <cellStyle name="epsE" xfId="83" xr:uid="{00000000-0005-0000-0000-000053000000}"/>
    <cellStyle name="EPSEstimate" xfId="84" xr:uid="{00000000-0005-0000-0000-000054000000}"/>
    <cellStyle name="Euro" xfId="85" xr:uid="{00000000-0005-0000-0000-000055000000}"/>
    <cellStyle name="Explanatory Text 2" xfId="86" xr:uid="{00000000-0005-0000-0000-000056000000}"/>
    <cellStyle name="fy_eps$" xfId="87" xr:uid="{00000000-0005-0000-0000-000057000000}"/>
    <cellStyle name="g_rate" xfId="88" xr:uid="{00000000-0005-0000-0000-000058000000}"/>
    <cellStyle name="g_rate_CW's MAKER MODEL" xfId="89" xr:uid="{00000000-0005-0000-0000-000059000000}"/>
    <cellStyle name="g_rate_valuation" xfId="90" xr:uid="{00000000-0005-0000-0000-00005A000000}"/>
    <cellStyle name="General" xfId="91" xr:uid="{00000000-0005-0000-0000-00005B000000}"/>
    <cellStyle name="Good 2" xfId="92" xr:uid="{00000000-0005-0000-0000-00005C000000}"/>
    <cellStyle name="GrowthRate" xfId="93" xr:uid="{00000000-0005-0000-0000-00005D000000}"/>
    <cellStyle name="GrowthSeq" xfId="94" xr:uid="{00000000-0005-0000-0000-00005E000000}"/>
    <cellStyle name="Hard Number Input" xfId="95" xr:uid="{00000000-0005-0000-0000-00005F000000}"/>
    <cellStyle name="Heading 1 2" xfId="96" xr:uid="{00000000-0005-0000-0000-000060000000}"/>
    <cellStyle name="Heading 2 2" xfId="97" xr:uid="{00000000-0005-0000-0000-000061000000}"/>
    <cellStyle name="Heading 3 2" xfId="98" xr:uid="{00000000-0005-0000-0000-000062000000}"/>
    <cellStyle name="Heading 4 2" xfId="99" xr:uid="{00000000-0005-0000-0000-000063000000}"/>
    <cellStyle name="Historical Number" xfId="100" xr:uid="{00000000-0005-0000-0000-000064000000}"/>
    <cellStyle name="Hyperlink" xfId="1" builtinId="8"/>
    <cellStyle name="iemens" xfId="101" xr:uid="{00000000-0005-0000-0000-000065000000}"/>
    <cellStyle name="Income" xfId="102" xr:uid="{00000000-0005-0000-0000-000066000000}"/>
    <cellStyle name="IncomeStatement" xfId="103" xr:uid="{00000000-0005-0000-0000-000067000000}"/>
    <cellStyle name="Input 2" xfId="104" xr:uid="{00000000-0005-0000-0000-000068000000}"/>
    <cellStyle name="Input Fixed [0]" xfId="105" xr:uid="{00000000-0005-0000-0000-000069000000}"/>
    <cellStyle name="Integer" xfId="106" xr:uid="{00000000-0005-0000-0000-00006A000000}"/>
    <cellStyle name="Inverse Header" xfId="107" xr:uid="{00000000-0005-0000-0000-00006B000000}"/>
    <cellStyle name="Invisible" xfId="108" xr:uid="{00000000-0005-0000-0000-00006C000000}"/>
    <cellStyle name="Item" xfId="109" xr:uid="{00000000-0005-0000-0000-00006D000000}"/>
    <cellStyle name="ItemTypeClass" xfId="110" xr:uid="{00000000-0005-0000-0000-00006E000000}"/>
    <cellStyle name="Linked Cell 2" xfId="111" xr:uid="{00000000-0005-0000-0000-00006F000000}"/>
    <cellStyle name="LTGR" xfId="112" xr:uid="{00000000-0005-0000-0000-000070000000}"/>
    <cellStyle name="m" xfId="113" xr:uid="{00000000-0005-0000-0000-000071000000}"/>
    <cellStyle name="m$" xfId="114" xr:uid="{00000000-0005-0000-0000-000072000000}"/>
    <cellStyle name="m/d/yy" xfId="115" xr:uid="{00000000-0005-0000-0000-000073000000}"/>
    <cellStyle name="m_CW's MAKER MODEL" xfId="116" xr:uid="{00000000-0005-0000-0000-000074000000}"/>
    <cellStyle name="m_valuation" xfId="117" xr:uid="{00000000-0005-0000-0000-000075000000}"/>
    <cellStyle name="Margin" xfId="118" xr:uid="{00000000-0005-0000-0000-000076000000}"/>
    <cellStyle name="Margins" xfId="119" xr:uid="{00000000-0005-0000-0000-000077000000}"/>
    <cellStyle name="mm" xfId="120" xr:uid="{00000000-0005-0000-0000-000078000000}"/>
    <cellStyle name="Multiple" xfId="121" xr:uid="{00000000-0005-0000-0000-000079000000}"/>
    <cellStyle name="MyStyle" xfId="122" xr:uid="{00000000-0005-0000-0000-00007A000000}"/>
    <cellStyle name="NA is zero" xfId="123" xr:uid="{00000000-0005-0000-0000-00007B000000}"/>
    <cellStyle name="Neutral 2" xfId="124" xr:uid="{00000000-0005-0000-0000-00007C000000}"/>
    <cellStyle name="NewColumnHeaderNormal" xfId="125" xr:uid="{00000000-0005-0000-0000-00007D000000}"/>
    <cellStyle name="NewSectionHeaderNormal" xfId="126" xr:uid="{00000000-0005-0000-0000-00007E000000}"/>
    <cellStyle name="NewTitleNormal" xfId="127" xr:uid="{00000000-0005-0000-0000-00007F000000}"/>
    <cellStyle name="Normal" xfId="0" builtinId="0"/>
    <cellStyle name="Normal--" xfId="135" xr:uid="{00000000-0005-0000-0000-000087000000}"/>
    <cellStyle name="Normal [0]" xfId="129" xr:uid="{00000000-0005-0000-0000-000081000000}"/>
    <cellStyle name="Normal [1]" xfId="130" xr:uid="{00000000-0005-0000-0000-000082000000}"/>
    <cellStyle name="Normal [2]" xfId="131" xr:uid="{00000000-0005-0000-0000-000083000000}"/>
    <cellStyle name="Normal [3]" xfId="132" xr:uid="{00000000-0005-0000-0000-000084000000}"/>
    <cellStyle name="Normal 2" xfId="128" xr:uid="{00000000-0005-0000-0000-000080000000}"/>
    <cellStyle name="Normal Bold" xfId="133" xr:uid="{00000000-0005-0000-0000-000085000000}"/>
    <cellStyle name="Normal Pct" xfId="134" xr:uid="{00000000-0005-0000-0000-000086000000}"/>
    <cellStyle name="NormalX" xfId="136" xr:uid="{00000000-0005-0000-0000-000088000000}"/>
    <cellStyle name="Note 2" xfId="137" xr:uid="{00000000-0005-0000-0000-000089000000}"/>
    <cellStyle name="NPPESalesPct" xfId="138" xr:uid="{00000000-0005-0000-0000-00008A000000}"/>
    <cellStyle name="Number" xfId="139" xr:uid="{00000000-0005-0000-0000-00008B000000}"/>
    <cellStyle name="NWI%S" xfId="140" xr:uid="{00000000-0005-0000-0000-00008C000000}"/>
    <cellStyle name="Output 2" xfId="141" xr:uid="{00000000-0005-0000-0000-00008D000000}"/>
    <cellStyle name="P/E" xfId="142" xr:uid="{00000000-0005-0000-0000-00008E000000}"/>
    <cellStyle name="Palatino" xfId="143" xr:uid="{00000000-0005-0000-0000-00008F000000}"/>
    <cellStyle name="pc1" xfId="144" xr:uid="{00000000-0005-0000-0000-000090000000}"/>
    <cellStyle name="pe" xfId="145" xr:uid="{00000000-0005-0000-0000-000091000000}"/>
    <cellStyle name="PE/LTGR" xfId="146" xr:uid="{00000000-0005-0000-0000-000092000000}"/>
    <cellStyle name="PEG" xfId="147" xr:uid="{00000000-0005-0000-0000-000093000000}"/>
    <cellStyle name="Percent [0]" xfId="148" xr:uid="{00000000-0005-0000-0000-000094000000}"/>
    <cellStyle name="Percent [1]" xfId="149" xr:uid="{00000000-0005-0000-0000-000095000000}"/>
    <cellStyle name="Percent [2]" xfId="150" xr:uid="{00000000-0005-0000-0000-000096000000}"/>
    <cellStyle name="PercentChange" xfId="151" xr:uid="{00000000-0005-0000-0000-000097000000}"/>
    <cellStyle name="PercentPresentation" xfId="152" xr:uid="{00000000-0005-0000-0000-000098000000}"/>
    <cellStyle name="PerShare" xfId="153" xr:uid="{00000000-0005-0000-0000-000099000000}"/>
    <cellStyle name="POPS" xfId="154" xr:uid="{00000000-0005-0000-0000-00009A000000}"/>
    <cellStyle name="Presentation" xfId="155" xr:uid="{00000000-0005-0000-0000-00009B000000}"/>
    <cellStyle name="PresentationZero" xfId="156" xr:uid="{00000000-0005-0000-0000-00009C000000}"/>
    <cellStyle name="price" xfId="157" xr:uid="{00000000-0005-0000-0000-00009D000000}"/>
    <cellStyle name="q" xfId="158" xr:uid="{00000000-0005-0000-0000-00009E000000}"/>
    <cellStyle name="q_CW's MAKER MODEL" xfId="159" xr:uid="{00000000-0005-0000-0000-00009F000000}"/>
    <cellStyle name="QEPS-h" xfId="160" xr:uid="{00000000-0005-0000-0000-0000A0000000}"/>
    <cellStyle name="QEPS-H1" xfId="161" xr:uid="{00000000-0005-0000-0000-0000A1000000}"/>
    <cellStyle name="qRange" xfId="162" xr:uid="{00000000-0005-0000-0000-0000A2000000}"/>
    <cellStyle name="range" xfId="163" xr:uid="{00000000-0005-0000-0000-0000A3000000}"/>
    <cellStyle name="RatioX" xfId="164" xr:uid="{00000000-0005-0000-0000-0000A4000000}"/>
    <cellStyle name="Red font" xfId="165" xr:uid="{00000000-0005-0000-0000-0000A5000000}"/>
    <cellStyle name="Report" xfId="166" xr:uid="{00000000-0005-0000-0000-0000A6000000}"/>
    <cellStyle name="Right" xfId="167" xr:uid="{00000000-0005-0000-0000-0000A7000000}"/>
    <cellStyle name="SectionHeaderNormal" xfId="168" xr:uid="{00000000-0005-0000-0000-0000A8000000}"/>
    <cellStyle name="SectionHeading" xfId="169" xr:uid="{00000000-0005-0000-0000-0000A9000000}"/>
    <cellStyle name="Shares" xfId="170" xr:uid="{00000000-0005-0000-0000-0000AA000000}"/>
    <cellStyle name="StockPrice" xfId="171" xr:uid="{00000000-0005-0000-0000-0000AB000000}"/>
    <cellStyle name="Style 1" xfId="172" xr:uid="{00000000-0005-0000-0000-0000AC000000}"/>
    <cellStyle name="Style 21" xfId="173" xr:uid="{00000000-0005-0000-0000-0000AD000000}"/>
    <cellStyle name="Style 22" xfId="174" xr:uid="{00000000-0005-0000-0000-0000AE000000}"/>
    <cellStyle name="Style 23" xfId="175" xr:uid="{00000000-0005-0000-0000-0000AF000000}"/>
    <cellStyle name="Style 24" xfId="176" xr:uid="{00000000-0005-0000-0000-0000B0000000}"/>
    <cellStyle name="Style 26" xfId="177" xr:uid="{00000000-0005-0000-0000-0000B1000000}"/>
    <cellStyle name="Style 27" xfId="178" xr:uid="{00000000-0005-0000-0000-0000B2000000}"/>
    <cellStyle name="Style 34" xfId="179" xr:uid="{00000000-0005-0000-0000-0000B3000000}"/>
    <cellStyle name="Style 37" xfId="180" xr:uid="{00000000-0005-0000-0000-0000B4000000}"/>
    <cellStyle name="Style 63" xfId="181" xr:uid="{00000000-0005-0000-0000-0000B5000000}"/>
    <cellStyle name="SubDollar" xfId="182" xr:uid="{00000000-0005-0000-0000-0000B6000000}"/>
    <cellStyle name="SubGrowth" xfId="183" xr:uid="{00000000-0005-0000-0000-0000B7000000}"/>
    <cellStyle name="SubGrowthRate" xfId="184" xr:uid="{00000000-0005-0000-0000-0000B8000000}"/>
    <cellStyle name="SubMargins" xfId="185" xr:uid="{00000000-0005-0000-0000-0000B9000000}"/>
    <cellStyle name="SubPenetration" xfId="186" xr:uid="{00000000-0005-0000-0000-0000BA000000}"/>
    <cellStyle name="Subscribers" xfId="187" xr:uid="{00000000-0005-0000-0000-0000BB000000}"/>
    <cellStyle name="SubScript" xfId="188" xr:uid="{00000000-0005-0000-0000-0000BC000000}"/>
    <cellStyle name="SubVariable" xfId="189" xr:uid="{00000000-0005-0000-0000-0000BD000000}"/>
    <cellStyle name="SuperScript" xfId="190" xr:uid="{00000000-0005-0000-0000-0000BE000000}"/>
    <cellStyle name="tcn" xfId="191" xr:uid="{00000000-0005-0000-0000-0000BF000000}"/>
    <cellStyle name="TextBold" xfId="192" xr:uid="{00000000-0005-0000-0000-0000C0000000}"/>
    <cellStyle name="TextItalic" xfId="193" xr:uid="{00000000-0005-0000-0000-0000C1000000}"/>
    <cellStyle name="TextNormal" xfId="194" xr:uid="{00000000-0005-0000-0000-0000C2000000}"/>
    <cellStyle name="Times" xfId="195" xr:uid="{00000000-0005-0000-0000-0000C3000000}"/>
    <cellStyle name="Times [1]" xfId="196" xr:uid="{00000000-0005-0000-0000-0000C4000000}"/>
    <cellStyle name="Times [2]" xfId="197" xr:uid="{00000000-0005-0000-0000-0000C5000000}"/>
    <cellStyle name="Title 2" xfId="198" xr:uid="{00000000-0005-0000-0000-0000C6000000}"/>
    <cellStyle name="title2" xfId="199" xr:uid="{00000000-0005-0000-0000-0000C7000000}"/>
    <cellStyle name="TitleII" xfId="200" xr:uid="{00000000-0005-0000-0000-0000C8000000}"/>
    <cellStyle name="TitleNormal" xfId="201" xr:uid="{00000000-0005-0000-0000-0000C9000000}"/>
    <cellStyle name="Titles" xfId="202" xr:uid="{00000000-0005-0000-0000-0000CA000000}"/>
    <cellStyle name="TitleSub" xfId="203" xr:uid="{00000000-0005-0000-0000-0000CB000000}"/>
    <cellStyle name="tn" xfId="204" xr:uid="{00000000-0005-0000-0000-0000CC000000}"/>
    <cellStyle name="Total 2" xfId="205" xr:uid="{00000000-0005-0000-0000-0000CD000000}"/>
    <cellStyle name="Warning Text 2" xfId="206" xr:uid="{00000000-0005-0000-0000-0000CE000000}"/>
    <cellStyle name="WholeNumber" xfId="207" xr:uid="{00000000-0005-0000-0000-0000CF000000}"/>
    <cellStyle name="Year&quot;E&quot;" xfId="208" xr:uid="{00000000-0005-0000-0000-0000D0000000}"/>
    <cellStyle name="Years" xfId="209" xr:uid="{00000000-0005-0000-0000-0000D1000000}"/>
  </cellStyles>
  <dxfs count="1">
    <dxf>
      <fill>
        <patternFill>
          <bgColor theme="8"/>
        </patternFill>
      </fill>
      <border>
        <left/>
        <right/>
        <top style="thin">
          <color rgb="FF9C0006"/>
        </top>
        <bottom style="thin">
          <color rgb="FF9C0006"/>
        </bottom>
      </border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6B5A56"/>
      <rgbColor rgb="FF800080"/>
      <rgbColor rgb="FF008080"/>
      <rgbColor rgb="FFC0C0C0"/>
      <rgbColor rgb="FF808080"/>
      <rgbColor rgb="FFC0C0FF"/>
      <rgbColor rgb="FF993366"/>
      <rgbColor rgb="FFFFFFCC"/>
      <rgbColor rgb="FFCCFFFF"/>
      <rgbColor rgb="FF5A4036"/>
      <rgbColor rgb="FFFF8080"/>
      <rgbColor rgb="FF0066CC"/>
      <rgbColor rgb="FFCCCCFF"/>
      <rgbColor rgb="FF000080"/>
      <rgbColor rgb="FFFF00FF"/>
      <rgbColor rgb="FFE0E0E0"/>
      <rgbColor rgb="FF00FFFF"/>
      <rgbColor rgb="FF800080"/>
      <rgbColor rgb="FF800000"/>
      <rgbColor rgb="FF008080"/>
      <rgbColor rgb="FF0000FF"/>
      <rgbColor rgb="FFC9DAF8"/>
      <rgbColor rgb="FFF7F3EE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C4A486"/>
      <rgbColor rgb="FFFFCC00"/>
      <rgbColor rgb="FFFF9900"/>
      <rgbColor rgb="FFFF6600"/>
      <rgbColor rgb="FF467886"/>
      <rgbColor rgb="FF969696"/>
      <rgbColor rgb="FF003366"/>
      <rgbColor rgb="FF339966"/>
      <rgbColor rgb="FF1A1A1A"/>
      <rgbColor rgb="FF49332B"/>
      <rgbColor rgb="FF993300"/>
      <rgbColor rgb="FFA02B93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446CD-6C4A-46E1-BDAA-FB6EF0459032}">
  <sheetPr>
    <pageSetUpPr fitToPage="1"/>
  </sheetPr>
  <dimension ref="C2:H52"/>
  <sheetViews>
    <sheetView showGridLines="0" topLeftCell="A19" zoomScale="78" zoomScaleNormal="100" workbookViewId="0">
      <selection activeCell="E51" sqref="E51"/>
    </sheetView>
  </sheetViews>
  <sheetFormatPr defaultColWidth="8.54296875" defaultRowHeight="14.5"/>
  <cols>
    <col min="1" max="2" width="2" customWidth="1"/>
    <col min="3" max="3" width="42" customWidth="1"/>
    <col min="4" max="8" width="13" customWidth="1"/>
    <col min="9" max="9" width="3" customWidth="1"/>
  </cols>
  <sheetData>
    <row r="2" spans="3:8" ht="17.25" customHeight="1">
      <c r="C2" s="176" t="s">
        <v>205</v>
      </c>
      <c r="D2" s="4"/>
      <c r="E2" s="4"/>
      <c r="F2" s="4"/>
      <c r="G2" s="4"/>
      <c r="H2" s="177" t="s">
        <v>0</v>
      </c>
    </row>
    <row r="4" spans="3:8" ht="15" customHeight="1">
      <c r="C4" s="178" t="s">
        <v>136</v>
      </c>
      <c r="D4" s="179">
        <v>46301</v>
      </c>
    </row>
    <row r="5" spans="3:8" ht="15" customHeight="1">
      <c r="C5" s="178" t="s">
        <v>206</v>
      </c>
      <c r="D5" s="174" t="s">
        <v>98</v>
      </c>
    </row>
    <row r="6" spans="3:8" ht="15" customHeight="1">
      <c r="C6" s="178" t="s">
        <v>207</v>
      </c>
      <c r="D6" s="174" t="s">
        <v>1</v>
      </c>
    </row>
    <row r="8" spans="3:8" ht="15" customHeight="1">
      <c r="C8" s="180" t="s">
        <v>208</v>
      </c>
      <c r="D8" s="48"/>
      <c r="E8" s="48"/>
      <c r="F8" s="48"/>
      <c r="G8" s="48"/>
      <c r="H8" s="48"/>
    </row>
    <row r="9" spans="3:8" ht="15" customHeight="1">
      <c r="C9" s="181" t="s">
        <v>173</v>
      </c>
      <c r="D9" s="182">
        <v>366.635985681688</v>
      </c>
    </row>
    <row r="10" spans="3:8" ht="15" customHeight="1">
      <c r="C10" s="178" t="s">
        <v>135</v>
      </c>
      <c r="D10" s="183">
        <v>529.29999999999995</v>
      </c>
    </row>
    <row r="11" spans="3:8" ht="15" customHeight="1">
      <c r="C11" s="178" t="s">
        <v>174</v>
      </c>
      <c r="D11" s="184">
        <v>-0.30731912775044801</v>
      </c>
    </row>
    <row r="12" spans="3:8" ht="15" customHeight="1">
      <c r="C12" s="178" t="s">
        <v>209</v>
      </c>
      <c r="D12" s="185">
        <v>2687189.7376292599</v>
      </c>
    </row>
    <row r="13" spans="3:8" ht="15" customHeight="1">
      <c r="C13" s="178" t="s">
        <v>171</v>
      </c>
      <c r="D13" s="185">
        <v>2723738.7376292599</v>
      </c>
    </row>
    <row r="14" spans="3:8" ht="15" customHeight="1">
      <c r="C14" s="178" t="s">
        <v>165</v>
      </c>
      <c r="D14" s="186">
        <v>0.88581374935837498</v>
      </c>
    </row>
    <row r="15" spans="3:8" ht="15" customHeight="1">
      <c r="C15" s="178" t="s">
        <v>167</v>
      </c>
      <c r="D15" s="187">
        <v>10.3735751850868</v>
      </c>
    </row>
    <row r="17" spans="3:8" ht="15" customHeight="1">
      <c r="C17" s="180" t="s">
        <v>210</v>
      </c>
      <c r="D17" s="48"/>
      <c r="E17" s="48"/>
      <c r="F17" s="48"/>
      <c r="G17" s="48"/>
      <c r="H17" s="48"/>
    </row>
    <row r="18" spans="3:8" ht="15" customHeight="1">
      <c r="C18" s="178" t="s">
        <v>211</v>
      </c>
      <c r="D18" s="186">
        <v>0.15193253632936701</v>
      </c>
      <c r="E18" s="188" t="s">
        <v>212</v>
      </c>
    </row>
    <row r="19" spans="3:8" ht="15" customHeight="1">
      <c r="C19" s="178" t="s">
        <v>213</v>
      </c>
      <c r="D19" s="186">
        <v>8.0303630612684307E-2</v>
      </c>
    </row>
    <row r="20" spans="3:8" ht="15" customHeight="1">
      <c r="C20" s="178" t="s">
        <v>214</v>
      </c>
      <c r="D20" s="186">
        <v>0.46780818408927199</v>
      </c>
      <c r="E20" s="188" t="s">
        <v>215</v>
      </c>
    </row>
    <row r="21" spans="3:8" ht="15" customHeight="1">
      <c r="C21" s="178" t="s">
        <v>216</v>
      </c>
      <c r="D21" s="186">
        <v>0.34941040685392599</v>
      </c>
      <c r="E21" s="188" t="s">
        <v>217</v>
      </c>
    </row>
    <row r="22" spans="3:8" ht="15" customHeight="1">
      <c r="C22" s="178" t="s">
        <v>35</v>
      </c>
      <c r="D22" s="186">
        <v>0.19396265985271299</v>
      </c>
    </row>
    <row r="23" spans="3:8" ht="15" customHeight="1">
      <c r="C23" s="178" t="s">
        <v>101</v>
      </c>
      <c r="D23" s="189">
        <v>9.2939429251308006E-2</v>
      </c>
      <c r="E23" s="188" t="s">
        <v>218</v>
      </c>
    </row>
    <row r="24" spans="3:8" ht="15" customHeight="1">
      <c r="C24" s="178" t="s">
        <v>102</v>
      </c>
      <c r="D24" s="186">
        <v>0.04</v>
      </c>
    </row>
    <row r="25" spans="3:8" ht="15" customHeight="1">
      <c r="C25" s="178" t="s">
        <v>219</v>
      </c>
      <c r="D25" s="190">
        <v>0.3</v>
      </c>
      <c r="E25" s="188" t="s">
        <v>220</v>
      </c>
    </row>
    <row r="27" spans="3:8" ht="15" customHeight="1">
      <c r="C27" s="180" t="s">
        <v>221</v>
      </c>
      <c r="D27" s="48"/>
      <c r="E27" s="48"/>
      <c r="F27" s="48"/>
      <c r="G27" s="48"/>
      <c r="H27" s="48"/>
    </row>
    <row r="28" spans="3:8" ht="15" customHeight="1">
      <c r="D28" s="191" t="s">
        <v>103</v>
      </c>
      <c r="E28" s="191" t="s">
        <v>98</v>
      </c>
      <c r="F28" s="191" t="s">
        <v>105</v>
      </c>
    </row>
    <row r="29" spans="3:8" ht="15" customHeight="1">
      <c r="C29" s="178" t="s">
        <v>222</v>
      </c>
      <c r="D29" s="192">
        <v>794.5</v>
      </c>
      <c r="E29" s="192">
        <v>366.6</v>
      </c>
      <c r="F29" s="192">
        <v>212.4</v>
      </c>
    </row>
    <row r="30" spans="3:8" ht="15" customHeight="1">
      <c r="C30" s="178" t="s">
        <v>223</v>
      </c>
      <c r="D30" s="193">
        <v>0.501</v>
      </c>
      <c r="E30" s="193">
        <v>-0.307</v>
      </c>
      <c r="F30" s="193">
        <v>-0.59899999999999998</v>
      </c>
    </row>
    <row r="31" spans="3:8" ht="15" customHeight="1">
      <c r="C31" s="178" t="s">
        <v>101</v>
      </c>
      <c r="D31" s="186">
        <v>7.2900000000000006E-2</v>
      </c>
      <c r="E31" s="186">
        <v>9.2899999999999996E-2</v>
      </c>
      <c r="F31" s="186">
        <v>0.1129</v>
      </c>
    </row>
    <row r="32" spans="3:8" ht="15" customHeight="1">
      <c r="C32" s="178" t="s">
        <v>224</v>
      </c>
      <c r="D32" s="186">
        <v>4.4999999999999998E-2</v>
      </c>
      <c r="E32" s="186">
        <v>0.04</v>
      </c>
      <c r="F32" s="186">
        <v>3.5000000000000003E-2</v>
      </c>
    </row>
    <row r="33" spans="3:8" ht="30" customHeight="1">
      <c r="C33" s="197" t="s">
        <v>225</v>
      </c>
      <c r="D33" s="198"/>
      <c r="E33" s="198"/>
      <c r="F33" s="198"/>
      <c r="G33" s="198"/>
      <c r="H33" s="198"/>
    </row>
    <row r="35" spans="3:8" ht="15" customHeight="1">
      <c r="C35" s="180" t="s">
        <v>226</v>
      </c>
      <c r="D35" s="48"/>
      <c r="E35" s="48"/>
      <c r="F35" s="48"/>
      <c r="G35" s="48"/>
      <c r="H35" s="48"/>
    </row>
    <row r="36" spans="3:8" ht="15" customHeight="1">
      <c r="C36" s="178" t="s">
        <v>227</v>
      </c>
      <c r="D36" s="194">
        <v>0.03</v>
      </c>
      <c r="E36" s="194">
        <v>3.5000000000000003E-2</v>
      </c>
      <c r="F36" s="194">
        <v>0.04</v>
      </c>
      <c r="G36" s="194">
        <v>4.4999999999999998E-2</v>
      </c>
      <c r="H36" s="194">
        <v>0.05</v>
      </c>
    </row>
    <row r="37" spans="3:8" ht="15" customHeight="1">
      <c r="C37" s="194">
        <v>8.2939429251307997E-2</v>
      </c>
      <c r="D37" s="192">
        <v>391.54378941380099</v>
      </c>
      <c r="E37" s="192">
        <v>422.214829078962</v>
      </c>
      <c r="F37" s="192">
        <v>459.95243536620802</v>
      </c>
      <c r="G37" s="192">
        <v>507.55049583323603</v>
      </c>
      <c r="H37" s="192">
        <v>569.49927688898197</v>
      </c>
    </row>
    <row r="38" spans="3:8" ht="15" customHeight="1">
      <c r="C38" s="194">
        <v>8.7939429251308002E-2</v>
      </c>
      <c r="D38" s="192">
        <v>354.48734333568399</v>
      </c>
      <c r="E38" s="192">
        <v>378.91758227945002</v>
      </c>
      <c r="F38" s="192">
        <v>408.377021716542</v>
      </c>
      <c r="G38" s="192">
        <v>444.62250864551601</v>
      </c>
      <c r="H38" s="192">
        <v>490.33702260472899</v>
      </c>
    </row>
    <row r="39" spans="3:8" ht="15" customHeight="1">
      <c r="C39" s="194">
        <v>9.2939429251308006E-2</v>
      </c>
      <c r="D39" s="192">
        <v>323.40231739584198</v>
      </c>
      <c r="E39" s="192">
        <v>343.18075074001803</v>
      </c>
      <c r="F39" s="195">
        <v>366.635985681688</v>
      </c>
      <c r="G39" s="192">
        <v>394.91847446493699</v>
      </c>
      <c r="H39" s="192">
        <v>429.71451820941701</v>
      </c>
    </row>
    <row r="40" spans="3:8" ht="15" customHeight="1">
      <c r="C40" s="194">
        <v>9.7939429251307997E-2</v>
      </c>
      <c r="D40" s="192">
        <v>296.96803026535201</v>
      </c>
      <c r="E40" s="192">
        <v>313.20013275797402</v>
      </c>
      <c r="F40" s="192">
        <v>332.18082152656802</v>
      </c>
      <c r="G40" s="192">
        <v>354.688888385148</v>
      </c>
      <c r="H40" s="192">
        <v>381.82803173347099</v>
      </c>
    </row>
    <row r="41" spans="3:8" ht="15" customHeight="1">
      <c r="C41" s="194">
        <v>0.102939429251308</v>
      </c>
      <c r="D41" s="192">
        <v>274.22600401374302</v>
      </c>
      <c r="E41" s="192">
        <v>287.70272212399101</v>
      </c>
      <c r="F41" s="192">
        <v>303.27292916602801</v>
      </c>
      <c r="G41" s="192">
        <v>321.47861069930002</v>
      </c>
      <c r="H41" s="192">
        <v>343.06650914108798</v>
      </c>
    </row>
    <row r="43" spans="3:8" ht="15" customHeight="1">
      <c r="C43" s="180" t="s">
        <v>228</v>
      </c>
      <c r="D43" s="48"/>
      <c r="E43" s="48"/>
      <c r="F43" s="48"/>
      <c r="G43" s="48"/>
      <c r="H43" s="48"/>
    </row>
    <row r="44" spans="3:8" ht="15.75" customHeight="1">
      <c r="C44" s="199" t="s">
        <v>234</v>
      </c>
      <c r="D44" s="198"/>
      <c r="E44" s="198"/>
      <c r="F44" s="198"/>
      <c r="G44" s="198"/>
      <c r="H44" s="198"/>
    </row>
    <row r="45" spans="3:8" ht="15.75" customHeight="1">
      <c r="C45" s="199" t="s">
        <v>233</v>
      </c>
      <c r="D45" s="198"/>
      <c r="E45" s="198"/>
      <c r="F45" s="198"/>
      <c r="G45" s="198"/>
      <c r="H45" s="198"/>
    </row>
    <row r="46" spans="3:8" ht="15.75" customHeight="1">
      <c r="C46" s="199" t="s">
        <v>232</v>
      </c>
      <c r="D46" s="198"/>
      <c r="E46" s="198"/>
      <c r="F46" s="198"/>
      <c r="G46" s="198"/>
      <c r="H46" s="198"/>
    </row>
    <row r="47" spans="3:8" ht="15.75" customHeight="1">
      <c r="C47" s="199" t="s">
        <v>229</v>
      </c>
      <c r="D47" s="198"/>
      <c r="E47" s="198"/>
      <c r="F47" s="198"/>
      <c r="G47" s="198"/>
      <c r="H47" s="198"/>
    </row>
    <row r="48" spans="3:8" ht="30" customHeight="1">
      <c r="C48" s="199" t="s">
        <v>230</v>
      </c>
      <c r="D48" s="198"/>
      <c r="E48" s="198"/>
      <c r="F48" s="198"/>
      <c r="G48" s="198"/>
      <c r="H48" s="198"/>
    </row>
    <row r="50" spans="3:8" ht="43.5" customHeight="1">
      <c r="C50" s="197" t="s">
        <v>231</v>
      </c>
      <c r="D50" s="198"/>
      <c r="E50" s="198"/>
      <c r="F50" s="198"/>
      <c r="G50" s="198"/>
      <c r="H50" s="198"/>
    </row>
    <row r="52" spans="3:8" ht="15" customHeight="1">
      <c r="C52" s="196" t="s">
        <v>0</v>
      </c>
    </row>
  </sheetData>
  <mergeCells count="7">
    <mergeCell ref="C33:H33"/>
    <mergeCell ref="C46:H46"/>
    <mergeCell ref="C47:H47"/>
    <mergeCell ref="C50:H50"/>
    <mergeCell ref="C44:H44"/>
    <mergeCell ref="C45:H45"/>
    <mergeCell ref="C48:H48"/>
  </mergeCells>
  <pageMargins left="0.75" right="0.75" top="1" bottom="1" header="0.511811023622047" footer="0.5"/>
  <pageSetup orientation="portrait" horizontalDpi="300" verticalDpi="300"/>
  <headerFooter>
    <oddFooter>&amp;CJourdan Partners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N131"/>
  <sheetViews>
    <sheetView showGridLines="0" topLeftCell="A42" zoomScaleNormal="109" workbookViewId="0">
      <selection activeCell="C12" sqref="C12"/>
    </sheetView>
  </sheetViews>
  <sheetFormatPr defaultColWidth="8.54296875" defaultRowHeight="14.5"/>
  <cols>
    <col min="1" max="2" width="1.81640625" customWidth="1"/>
    <col min="3" max="3" width="43.1796875" customWidth="1"/>
    <col min="4" max="4" width="10.453125" customWidth="1"/>
    <col min="5" max="6" width="9" customWidth="1"/>
    <col min="7" max="7" width="10" customWidth="1"/>
    <col min="8" max="8" width="10.26953125" customWidth="1"/>
    <col min="9" max="11" width="9.81640625" customWidth="1"/>
    <col min="12" max="12" width="1.90625" customWidth="1"/>
    <col min="13" max="13" width="5.81640625" customWidth="1"/>
    <col min="14" max="14" width="21.54296875" customWidth="1"/>
    <col min="15" max="15" width="44.08984375" customWidth="1"/>
    <col min="16" max="17" width="8.81640625" customWidth="1"/>
    <col min="23" max="23" width="43.54296875" customWidth="1"/>
  </cols>
  <sheetData>
    <row r="2" spans="3:13" ht="18.5" customHeight="1">
      <c r="C2" s="1" t="str">
        <f>"Financial Statement Model for "&amp;D5</f>
        <v>Financial Statement Model for Microsoft</v>
      </c>
      <c r="D2" s="2"/>
      <c r="E2" s="3"/>
      <c r="F2" s="3"/>
      <c r="G2" s="2"/>
      <c r="H2" s="2"/>
      <c r="I2" s="2"/>
      <c r="J2" s="3"/>
      <c r="K2" s="3"/>
      <c r="L2" s="4"/>
      <c r="M2" s="5" t="s">
        <v>0</v>
      </c>
    </row>
    <row r="3" spans="3:13">
      <c r="C3" s="6" t="s">
        <v>1</v>
      </c>
    </row>
    <row r="5" spans="3:13">
      <c r="C5" s="7" t="s">
        <v>2</v>
      </c>
      <c r="D5" s="8" t="s">
        <v>3</v>
      </c>
      <c r="F5" s="95" t="s">
        <v>186</v>
      </c>
      <c r="G5" s="95"/>
    </row>
    <row r="6" spans="3:13">
      <c r="C6" s="7" t="s">
        <v>4</v>
      </c>
      <c r="D6" s="8" t="s">
        <v>5</v>
      </c>
      <c r="F6" s="168" t="s">
        <v>204</v>
      </c>
    </row>
    <row r="7" spans="3:13">
      <c r="C7" t="s">
        <v>6</v>
      </c>
      <c r="D7" s="10">
        <v>529.29999999999995</v>
      </c>
      <c r="K7" s="9"/>
    </row>
    <row r="8" spans="3:13">
      <c r="C8" t="s">
        <v>7</v>
      </c>
      <c r="D8" s="11">
        <v>46301</v>
      </c>
    </row>
    <row r="9" spans="3:13">
      <c r="C9" s="7" t="s">
        <v>8</v>
      </c>
      <c r="D9" s="11">
        <v>46203</v>
      </c>
    </row>
    <row r="10" spans="3:13">
      <c r="C10" t="s">
        <v>9</v>
      </c>
      <c r="D10" s="8">
        <v>7429</v>
      </c>
    </row>
    <row r="11" spans="3:13">
      <c r="K11" s="12"/>
    </row>
    <row r="12" spans="3:13">
      <c r="C12" s="13" t="s">
        <v>10</v>
      </c>
      <c r="D12" s="14"/>
      <c r="E12" s="14"/>
      <c r="F12" s="14"/>
      <c r="G12" s="15"/>
      <c r="H12" s="15"/>
      <c r="I12" s="15"/>
      <c r="J12" s="15"/>
      <c r="K12" s="16"/>
    </row>
    <row r="13" spans="3:13">
      <c r="C13" t="s">
        <v>11</v>
      </c>
      <c r="D13" s="17">
        <f>E13-1</f>
        <v>2024</v>
      </c>
      <c r="E13" s="17">
        <f>F13-1</f>
        <v>2025</v>
      </c>
      <c r="F13" s="17">
        <f>YEAR(D9)</f>
        <v>2026</v>
      </c>
      <c r="G13" s="18">
        <f>F13+1</f>
        <v>2027</v>
      </c>
      <c r="H13" s="18">
        <f>G13+1</f>
        <v>2028</v>
      </c>
      <c r="I13" s="18">
        <f>H13+1</f>
        <v>2029</v>
      </c>
      <c r="J13" s="18">
        <f>I13+1</f>
        <v>2030</v>
      </c>
      <c r="K13" s="18">
        <f>J13+1</f>
        <v>2031</v>
      </c>
      <c r="M13" s="17"/>
    </row>
    <row r="14" spans="3:13">
      <c r="C14" s="19" t="s">
        <v>12</v>
      </c>
      <c r="D14" s="20">
        <f>EOMONTH(E14,-12)</f>
        <v>45473</v>
      </c>
      <c r="E14" s="20">
        <f>EOMONTH(F14,-12)</f>
        <v>45838</v>
      </c>
      <c r="F14" s="20">
        <f>D9</f>
        <v>46203</v>
      </c>
      <c r="G14" s="20">
        <f>EOMONTH(F14,12)</f>
        <v>46568</v>
      </c>
      <c r="H14" s="20">
        <f>EOMONTH(G14,12)</f>
        <v>46934</v>
      </c>
      <c r="I14" s="20">
        <f>EOMONTH(H14,12)</f>
        <v>47299</v>
      </c>
      <c r="J14" s="20">
        <f>EOMONTH(I14,12)</f>
        <v>47664</v>
      </c>
      <c r="K14" s="20">
        <f>EOMONTH(J14,12)</f>
        <v>48029</v>
      </c>
    </row>
    <row r="15" spans="3:13">
      <c r="C15" s="21"/>
      <c r="D15" s="22"/>
      <c r="E15" s="23"/>
      <c r="F15" s="23"/>
    </row>
    <row r="16" spans="3:13">
      <c r="C16" t="s">
        <v>13</v>
      </c>
      <c r="D16" s="24">
        <v>245122</v>
      </c>
      <c r="E16" s="24">
        <v>281724</v>
      </c>
      <c r="F16" s="24">
        <v>331839</v>
      </c>
      <c r="G16" s="25">
        <f>Scenario!F18</f>
        <v>382256.14092300076</v>
      </c>
      <c r="H16" s="25">
        <f>Scenario!G18</f>
        <v>431385.33407987189</v>
      </c>
      <c r="I16" s="25">
        <f>Scenario!H18</f>
        <v>478324.89696038683</v>
      </c>
      <c r="J16" s="25">
        <f>Scenario!I18</f>
        <v>522744.15458774939</v>
      </c>
      <c r="K16" s="25">
        <f>Scenario!J18</f>
        <v>564722.40808270394</v>
      </c>
    </row>
    <row r="17" spans="3:11">
      <c r="C17" t="s">
        <v>14</v>
      </c>
      <c r="D17" s="24">
        <v>-74114</v>
      </c>
      <c r="E17" s="24">
        <v>-87831</v>
      </c>
      <c r="F17" s="24">
        <v>-106374</v>
      </c>
      <c r="G17" s="25">
        <f>Scenario!F12</f>
        <v>-122535.67161950005</v>
      </c>
      <c r="H17" s="25">
        <f>Scenario!G12</f>
        <v>-138284.47990565389</v>
      </c>
      <c r="I17" s="25">
        <f>Scenario!H12</f>
        <v>-153331.3823548895</v>
      </c>
      <c r="J17" s="25">
        <f>Scenario!I12</f>
        <v>-167570.37810539824</v>
      </c>
      <c r="K17" s="25">
        <f>Scenario!J12</f>
        <v>-181026.88785040198</v>
      </c>
    </row>
    <row r="18" spans="3:11">
      <c r="C18" s="26" t="s">
        <v>15</v>
      </c>
      <c r="D18" s="27">
        <f>SUM(D16:D17)</f>
        <v>171008</v>
      </c>
      <c r="E18" s="27">
        <f>SUM(E16:E17)</f>
        <v>193893</v>
      </c>
      <c r="F18" s="27">
        <f>SUM(F16:F17)</f>
        <v>225465</v>
      </c>
      <c r="G18" s="28">
        <f>G16+G17</f>
        <v>259720.46930350072</v>
      </c>
      <c r="H18" s="28">
        <f>H16+H17</f>
        <v>293100.85417421802</v>
      </c>
      <c r="I18" s="28">
        <f>I16+I17</f>
        <v>324993.51460549736</v>
      </c>
      <c r="J18" s="28">
        <f>J16+J17</f>
        <v>355173.77648235112</v>
      </c>
      <c r="K18" s="28">
        <f>K16+K17</f>
        <v>383695.52023230196</v>
      </c>
    </row>
    <row r="19" spans="3:11">
      <c r="C19" t="s">
        <v>16</v>
      </c>
      <c r="D19" s="24">
        <v>-29510</v>
      </c>
      <c r="E19" s="24">
        <v>-32488</v>
      </c>
      <c r="F19" s="24">
        <v>-35562</v>
      </c>
      <c r="G19" s="25">
        <f>Scenario!F11</f>
        <v>-40965.02485694494</v>
      </c>
      <c r="H19" s="25">
        <f>Scenario!G11</f>
        <v>-46230.024953511806</v>
      </c>
      <c r="I19" s="25">
        <f>Scenario!H11</f>
        <v>-51260.37019670767</v>
      </c>
      <c r="J19" s="25">
        <f>Scenario!I11</f>
        <v>-56020.623330740338</v>
      </c>
      <c r="K19" s="25">
        <f>Scenario!J11</f>
        <v>-60519.282773384431</v>
      </c>
    </row>
    <row r="20" spans="3:11">
      <c r="C20" t="s">
        <v>17</v>
      </c>
      <c r="D20" s="24">
        <v>-32065</v>
      </c>
      <c r="E20" s="24">
        <v>-32877</v>
      </c>
      <c r="F20" s="24">
        <v>-34666</v>
      </c>
      <c r="G20" s="25">
        <f>Scenario!F10</f>
        <v>-39932.89330439383</v>
      </c>
      <c r="H20" s="25">
        <f>Scenario!G10</f>
        <v>-45065.23944205726</v>
      </c>
      <c r="I20" s="25">
        <f>Scenario!H10</f>
        <v>-49968.842957062821</v>
      </c>
      <c r="J20" s="25">
        <f>Scenario!I10</f>
        <v>-54609.159450633953</v>
      </c>
      <c r="K20" s="25">
        <f>Scenario!J10</f>
        <v>-58994.473219226835</v>
      </c>
    </row>
    <row r="21" spans="3:11">
      <c r="C21" s="26" t="s">
        <v>18</v>
      </c>
      <c r="D21" s="27">
        <f t="shared" ref="D21:K21" si="0">SUM(D18:D20)</f>
        <v>109433</v>
      </c>
      <c r="E21" s="27">
        <f t="shared" si="0"/>
        <v>128528</v>
      </c>
      <c r="F21" s="27">
        <f t="shared" si="0"/>
        <v>155237</v>
      </c>
      <c r="G21" s="28">
        <f t="shared" si="0"/>
        <v>178822.55114216194</v>
      </c>
      <c r="H21" s="28">
        <f t="shared" si="0"/>
        <v>201805.58977864895</v>
      </c>
      <c r="I21" s="28">
        <f t="shared" si="0"/>
        <v>223764.30145172687</v>
      </c>
      <c r="J21" s="28">
        <f t="shared" si="0"/>
        <v>244543.99370097686</v>
      </c>
      <c r="K21" s="28">
        <f t="shared" si="0"/>
        <v>264181.76423969073</v>
      </c>
    </row>
    <row r="22" spans="3:11">
      <c r="C22" t="s">
        <v>19</v>
      </c>
      <c r="D22" s="24">
        <v>3157</v>
      </c>
      <c r="E22" s="24">
        <v>2647</v>
      </c>
      <c r="F22" s="24">
        <v>3301</v>
      </c>
      <c r="G22" s="173">
        <f ca="1">G44*$F$129</f>
        <v>3458.3836571648653</v>
      </c>
      <c r="H22" s="173">
        <f t="shared" ref="H22:K22" ca="1" si="1">H44*$F$129</f>
        <v>4450.7865983613765</v>
      </c>
      <c r="I22" s="173">
        <f t="shared" ca="1" si="1"/>
        <v>5972.2586713288065</v>
      </c>
      <c r="J22" s="173">
        <f t="shared" ca="1" si="1"/>
        <v>8049.8202194913956</v>
      </c>
      <c r="K22" s="173">
        <f t="shared" ca="1" si="1"/>
        <v>10705.344709134293</v>
      </c>
    </row>
    <row r="23" spans="3:11">
      <c r="C23" t="s">
        <v>20</v>
      </c>
      <c r="D23" s="24">
        <v>-2935</v>
      </c>
      <c r="E23" s="24">
        <v>-2385</v>
      </c>
      <c r="F23" s="24">
        <v>-3051</v>
      </c>
      <c r="G23" s="29">
        <f t="shared" ref="G23:K24" si="2">F23</f>
        <v>-3051</v>
      </c>
      <c r="H23" s="29">
        <f t="shared" si="2"/>
        <v>-3051</v>
      </c>
      <c r="I23" s="29">
        <f t="shared" si="2"/>
        <v>-3051</v>
      </c>
      <c r="J23" s="29">
        <f t="shared" si="2"/>
        <v>-3051</v>
      </c>
      <c r="K23" s="29">
        <f t="shared" si="2"/>
        <v>-3051</v>
      </c>
    </row>
    <row r="24" spans="3:11">
      <c r="C24" t="s">
        <v>21</v>
      </c>
      <c r="D24" s="24">
        <v>-1868</v>
      </c>
      <c r="E24" s="24">
        <v>-5163</v>
      </c>
      <c r="F24" s="24">
        <v>10447</v>
      </c>
      <c r="G24" s="29">
        <f t="shared" si="2"/>
        <v>10447</v>
      </c>
      <c r="H24" s="29">
        <f t="shared" si="2"/>
        <v>10447</v>
      </c>
      <c r="I24" s="29">
        <f t="shared" si="2"/>
        <v>10447</v>
      </c>
      <c r="J24" s="29">
        <f t="shared" si="2"/>
        <v>10447</v>
      </c>
      <c r="K24" s="29">
        <f t="shared" si="2"/>
        <v>10447</v>
      </c>
    </row>
    <row r="25" spans="3:11">
      <c r="C25" s="26" t="s">
        <v>22</v>
      </c>
      <c r="D25" s="27">
        <f t="shared" ref="D25:J25" si="3">SUM(D21:D24)</f>
        <v>107787</v>
      </c>
      <c r="E25" s="27">
        <f t="shared" si="3"/>
        <v>123627</v>
      </c>
      <c r="F25" s="27">
        <f t="shared" si="3"/>
        <v>165934</v>
      </c>
      <c r="G25" s="28">
        <f t="shared" ca="1" si="3"/>
        <v>189676.93479932682</v>
      </c>
      <c r="H25" s="28">
        <f t="shared" ca="1" si="3"/>
        <v>213652.37637701034</v>
      </c>
      <c r="I25" s="28">
        <f t="shared" ca="1" si="3"/>
        <v>237132.56012305568</v>
      </c>
      <c r="J25" s="28">
        <f t="shared" ca="1" si="3"/>
        <v>259989.81392046827</v>
      </c>
      <c r="K25" s="28">
        <f ca="1">SUM(K21:K24)</f>
        <v>282283.10894882504</v>
      </c>
    </row>
    <row r="26" spans="3:11">
      <c r="C26" t="s">
        <v>23</v>
      </c>
      <c r="D26" s="24">
        <v>-19651</v>
      </c>
      <c r="E26" s="24">
        <v>-21795</v>
      </c>
      <c r="F26" s="24">
        <v>-32185</v>
      </c>
      <c r="G26" s="29">
        <f ca="1">(G25*G39)*-1</f>
        <v>-36790.24278638696</v>
      </c>
      <c r="H26" s="29">
        <f ca="1">(H25*H39)*-1</f>
        <v>-41440.583205937772</v>
      </c>
      <c r="I26" s="29">
        <f ca="1">(I25*I39)*-1</f>
        <v>-45994.862099151149</v>
      </c>
      <c r="J26" s="29">
        <f ca="1">(J25*J39)*-1</f>
        <v>-50428.315842625809</v>
      </c>
      <c r="K26" s="29">
        <f ca="1">(K25*K39)*-1</f>
        <v>-54752.382643207144</v>
      </c>
    </row>
    <row r="27" spans="3:11">
      <c r="C27" s="26" t="s">
        <v>24</v>
      </c>
      <c r="D27" s="27">
        <f t="shared" ref="D27:J27" si="4">SUM(D25:D26)</f>
        <v>88136</v>
      </c>
      <c r="E27" s="27">
        <f t="shared" si="4"/>
        <v>101832</v>
      </c>
      <c r="F27" s="27">
        <f t="shared" si="4"/>
        <v>133749</v>
      </c>
      <c r="G27" s="28">
        <f t="shared" ca="1" si="4"/>
        <v>152886.69201293986</v>
      </c>
      <c r="H27" s="28">
        <f t="shared" ca="1" si="4"/>
        <v>172211.79317107255</v>
      </c>
      <c r="I27" s="28">
        <f t="shared" ca="1" si="4"/>
        <v>191137.69802390452</v>
      </c>
      <c r="J27" s="28">
        <f t="shared" ca="1" si="4"/>
        <v>209561.49807784247</v>
      </c>
      <c r="K27" s="28">
        <f ca="1">SUM(K25:K26)</f>
        <v>227530.72630561789</v>
      </c>
    </row>
    <row r="28" spans="3:11">
      <c r="C28" s="30"/>
      <c r="D28" s="31"/>
      <c r="E28" s="31"/>
      <c r="F28" s="31"/>
      <c r="G28" s="32"/>
      <c r="H28" s="32"/>
      <c r="I28" s="32"/>
      <c r="J28" s="32"/>
      <c r="K28" s="32"/>
    </row>
    <row r="29" spans="3:11">
      <c r="C29" s="33" t="s">
        <v>25</v>
      </c>
      <c r="D29" s="34">
        <v>22287</v>
      </c>
      <c r="E29" s="34">
        <v>34153</v>
      </c>
      <c r="F29" s="34">
        <v>38534</v>
      </c>
      <c r="G29" s="29">
        <f>G105</f>
        <v>47059.853829362168</v>
      </c>
      <c r="H29" s="29">
        <f>H105</f>
        <v>56122.797899190569</v>
      </c>
      <c r="I29" s="29">
        <f>I105</f>
        <v>65572.221735954241</v>
      </c>
      <c r="J29" s="29">
        <f>J105</f>
        <v>75314.578430430309</v>
      </c>
      <c r="K29" s="29">
        <f>K105</f>
        <v>85309.010243811761</v>
      </c>
    </row>
    <row r="30" spans="3:11">
      <c r="C30" s="35" t="s">
        <v>26</v>
      </c>
      <c r="D30" s="36">
        <f t="shared" ref="D30:K30" si="5">D21+D29</f>
        <v>131720</v>
      </c>
      <c r="E30" s="36">
        <f t="shared" si="5"/>
        <v>162681</v>
      </c>
      <c r="F30" s="36">
        <f t="shared" si="5"/>
        <v>193771</v>
      </c>
      <c r="G30" s="28">
        <f t="shared" si="5"/>
        <v>225882.40497152411</v>
      </c>
      <c r="H30" s="28">
        <f t="shared" si="5"/>
        <v>257928.38767783952</v>
      </c>
      <c r="I30" s="28">
        <f t="shared" si="5"/>
        <v>289336.5231876811</v>
      </c>
      <c r="J30" s="28">
        <f t="shared" si="5"/>
        <v>319858.57213140716</v>
      </c>
      <c r="K30" s="28">
        <f t="shared" si="5"/>
        <v>349490.77448350249</v>
      </c>
    </row>
    <row r="31" spans="3:11">
      <c r="C31" s="33" t="s">
        <v>27</v>
      </c>
      <c r="D31" s="34">
        <v>10734</v>
      </c>
      <c r="E31" s="34">
        <v>11974</v>
      </c>
      <c r="F31" s="34">
        <v>12405</v>
      </c>
      <c r="G31" s="29">
        <f>F31*(G35+1)</f>
        <v>14289.723113165795</v>
      </c>
      <c r="H31" s="29">
        <f>G31*(H35+1)</f>
        <v>16126.299408028623</v>
      </c>
      <c r="I31" s="29">
        <f>H31*(I35+1)</f>
        <v>17881.021660484748</v>
      </c>
      <c r="J31" s="29">
        <f>I31*(J35+1)</f>
        <v>19541.528384731846</v>
      </c>
      <c r="K31" s="29">
        <f>J31*(K35+1)</f>
        <v>21110.784061746639</v>
      </c>
    </row>
    <row r="32" spans="3:11">
      <c r="C32" s="35" t="s">
        <v>28</v>
      </c>
      <c r="D32" s="36">
        <f t="shared" ref="D32:K32" si="6">SUM(D30:D31)</f>
        <v>142454</v>
      </c>
      <c r="E32" s="36">
        <f t="shared" si="6"/>
        <v>174655</v>
      </c>
      <c r="F32" s="36">
        <f t="shared" si="6"/>
        <v>206176</v>
      </c>
      <c r="G32" s="28">
        <f t="shared" si="6"/>
        <v>240172.1280846899</v>
      </c>
      <c r="H32" s="28">
        <f t="shared" si="6"/>
        <v>274054.68708586815</v>
      </c>
      <c r="I32" s="28">
        <f t="shared" si="6"/>
        <v>307217.54484816582</v>
      </c>
      <c r="J32" s="28">
        <f t="shared" si="6"/>
        <v>339400.10051613901</v>
      </c>
      <c r="K32" s="28">
        <f t="shared" si="6"/>
        <v>370601.55854524911</v>
      </c>
    </row>
    <row r="33" spans="3:14">
      <c r="C33" s="30"/>
    </row>
    <row r="34" spans="3:14">
      <c r="C34" s="37" t="s">
        <v>29</v>
      </c>
    </row>
    <row r="35" spans="3:14">
      <c r="C35" s="30" t="s">
        <v>30</v>
      </c>
      <c r="D35" s="38"/>
      <c r="E35" s="39">
        <f>E16/D16-1</f>
        <v>0.14932156232406713</v>
      </c>
      <c r="F35" s="39">
        <f>F16/E16-1</f>
        <v>0.17788686799846665</v>
      </c>
      <c r="G35" s="40">
        <f>'Revenue Build'!G27</f>
        <v>0.15193253632936687</v>
      </c>
      <c r="H35" s="40">
        <f>'Revenue Build'!H27</f>
        <v>0.12852427442563275</v>
      </c>
      <c r="I35" s="40">
        <f>'Revenue Build'!I27</f>
        <v>0.10881121626592893</v>
      </c>
      <c r="J35" s="40">
        <f>'Revenue Build'!J27</f>
        <v>9.2864197347104049E-2</v>
      </c>
      <c r="K35" s="40">
        <f>'Revenue Build'!K27</f>
        <v>8.0303630612684307E-2</v>
      </c>
      <c r="L35" s="41"/>
    </row>
    <row r="36" spans="3:14">
      <c r="C36" s="30" t="s">
        <v>31</v>
      </c>
      <c r="D36" s="39">
        <f>D18/D16</f>
        <v>0.69764443827971379</v>
      </c>
      <c r="E36" s="39">
        <f>E18/E16</f>
        <v>0.68823742386165188</v>
      </c>
      <c r="F36" s="39">
        <f>F18/F16</f>
        <v>0.67944093370580316</v>
      </c>
      <c r="G36" s="39">
        <f t="shared" ref="G36:K39" si="7">F36</f>
        <v>0.67944093370580316</v>
      </c>
      <c r="H36" s="39">
        <f t="shared" si="7"/>
        <v>0.67944093370580316</v>
      </c>
      <c r="I36" s="39">
        <f t="shared" si="7"/>
        <v>0.67944093370580316</v>
      </c>
      <c r="J36" s="39">
        <f t="shared" si="7"/>
        <v>0.67944093370580316</v>
      </c>
      <c r="K36" s="39">
        <f t="shared" si="7"/>
        <v>0.67944093370580316</v>
      </c>
      <c r="L36" s="41"/>
      <c r="N36" s="168" t="s">
        <v>32</v>
      </c>
    </row>
    <row r="37" spans="3:14">
      <c r="C37" s="30" t="s">
        <v>33</v>
      </c>
      <c r="D37" s="39">
        <f>(D19/D16)*-1</f>
        <v>0.12038903076835208</v>
      </c>
      <c r="E37" s="39">
        <f>(E19/E16)*-1</f>
        <v>0.11531853871164686</v>
      </c>
      <c r="F37" s="39">
        <f>(F19/F16)*-1</f>
        <v>0.10716642709265638</v>
      </c>
      <c r="G37" s="39">
        <f t="shared" si="7"/>
        <v>0.10716642709265638</v>
      </c>
      <c r="H37" s="39">
        <f t="shared" si="7"/>
        <v>0.10716642709265638</v>
      </c>
      <c r="I37" s="39">
        <f t="shared" si="7"/>
        <v>0.10716642709265638</v>
      </c>
      <c r="J37" s="39">
        <f t="shared" si="7"/>
        <v>0.10716642709265638</v>
      </c>
      <c r="K37" s="39">
        <f t="shared" si="7"/>
        <v>0.10716642709265638</v>
      </c>
      <c r="L37" s="41"/>
      <c r="N37" s="168" t="s">
        <v>32</v>
      </c>
    </row>
    <row r="38" spans="3:14">
      <c r="C38" s="30" t="s">
        <v>34</v>
      </c>
      <c r="D38" s="39">
        <f>(D20/D16)*-1</f>
        <v>0.13081241177862452</v>
      </c>
      <c r="E38" s="39">
        <f>(E20/E16)*-1</f>
        <v>0.11669932274140649</v>
      </c>
      <c r="F38" s="39">
        <f>(F20/F16)*-1</f>
        <v>0.10446632252387453</v>
      </c>
      <c r="G38" s="39">
        <f t="shared" si="7"/>
        <v>0.10446632252387453</v>
      </c>
      <c r="H38" s="39">
        <f t="shared" si="7"/>
        <v>0.10446632252387453</v>
      </c>
      <c r="I38" s="39">
        <f t="shared" si="7"/>
        <v>0.10446632252387453</v>
      </c>
      <c r="J38" s="39">
        <f t="shared" si="7"/>
        <v>0.10446632252387453</v>
      </c>
      <c r="K38" s="39">
        <f t="shared" si="7"/>
        <v>0.10446632252387453</v>
      </c>
      <c r="L38" s="41"/>
      <c r="N38" s="168" t="s">
        <v>32</v>
      </c>
    </row>
    <row r="39" spans="3:14">
      <c r="C39" s="30" t="s">
        <v>35</v>
      </c>
      <c r="D39" s="39">
        <f>(D26/D25)*-1</f>
        <v>0.18231326597827197</v>
      </c>
      <c r="E39" s="39">
        <f>(E26/E25)*-1</f>
        <v>0.17629644009803683</v>
      </c>
      <c r="F39" s="39">
        <f>(F26/F25)*-1</f>
        <v>0.19396265985271252</v>
      </c>
      <c r="G39" s="39">
        <f t="shared" si="7"/>
        <v>0.19396265985271252</v>
      </c>
      <c r="H39" s="39">
        <f t="shared" si="7"/>
        <v>0.19396265985271252</v>
      </c>
      <c r="I39" s="39">
        <f t="shared" si="7"/>
        <v>0.19396265985271252</v>
      </c>
      <c r="J39" s="39">
        <f t="shared" si="7"/>
        <v>0.19396265985271252</v>
      </c>
      <c r="K39" s="39">
        <f t="shared" si="7"/>
        <v>0.19396265985271252</v>
      </c>
      <c r="L39" s="41"/>
      <c r="N39" s="168" t="s">
        <v>32</v>
      </c>
    </row>
    <row r="40" spans="3:14">
      <c r="C40" s="30"/>
      <c r="H40" s="41"/>
      <c r="I40" s="41"/>
    </row>
    <row r="41" spans="3:14">
      <c r="C41" s="13" t="s">
        <v>36</v>
      </c>
      <c r="D41" s="42"/>
      <c r="E41" s="42"/>
      <c r="F41" s="43"/>
      <c r="G41" s="15"/>
      <c r="H41" s="15"/>
      <c r="I41" s="15"/>
      <c r="J41" s="15"/>
      <c r="K41" s="15"/>
    </row>
    <row r="42" spans="3:14">
      <c r="C42" s="44" t="str">
        <f>C13</f>
        <v>Fiscal year</v>
      </c>
      <c r="D42" s="45"/>
      <c r="E42" s="45">
        <f t="shared" ref="E42:K43" si="8">E13</f>
        <v>2025</v>
      </c>
      <c r="F42" s="46">
        <f t="shared" si="8"/>
        <v>2026</v>
      </c>
      <c r="G42" s="47">
        <f t="shared" si="8"/>
        <v>2027</v>
      </c>
      <c r="H42" s="47">
        <f t="shared" si="8"/>
        <v>2028</v>
      </c>
      <c r="I42" s="47">
        <f t="shared" si="8"/>
        <v>2029</v>
      </c>
      <c r="J42" s="47">
        <f t="shared" si="8"/>
        <v>2030</v>
      </c>
      <c r="K42" s="47">
        <f t="shared" si="8"/>
        <v>2031</v>
      </c>
    </row>
    <row r="43" spans="3:14">
      <c r="C43" s="48" t="str">
        <f>C14</f>
        <v>Fiscal year end date</v>
      </c>
      <c r="D43" s="49"/>
      <c r="E43" s="49">
        <f t="shared" si="8"/>
        <v>45838</v>
      </c>
      <c r="F43" s="49">
        <f t="shared" si="8"/>
        <v>46203</v>
      </c>
      <c r="G43" s="49">
        <f t="shared" si="8"/>
        <v>46568</v>
      </c>
      <c r="H43" s="49">
        <f t="shared" si="8"/>
        <v>46934</v>
      </c>
      <c r="I43" s="49">
        <f t="shared" si="8"/>
        <v>47299</v>
      </c>
      <c r="J43" s="49">
        <f t="shared" si="8"/>
        <v>47664</v>
      </c>
      <c r="K43" s="49">
        <f t="shared" si="8"/>
        <v>48029</v>
      </c>
    </row>
    <row r="44" spans="3:14">
      <c r="C44" t="s">
        <v>37</v>
      </c>
      <c r="D44" s="24"/>
      <c r="E44" s="24">
        <v>94565</v>
      </c>
      <c r="F44" s="24">
        <v>76843</v>
      </c>
      <c r="G44" s="29">
        <f ca="1">F44+G89</f>
        <v>89828.146939347149</v>
      </c>
      <c r="H44" s="29">
        <f ca="1">G44+H89</f>
        <v>115604.84671068512</v>
      </c>
      <c r="I44" s="29">
        <f ca="1">H44+I89</f>
        <v>155123.60185269627</v>
      </c>
      <c r="J44" s="29">
        <f ca="1">I44+J89</f>
        <v>209086.23946730897</v>
      </c>
      <c r="K44" s="29">
        <f ca="1">J44+K89</f>
        <v>278060.90153595567</v>
      </c>
    </row>
    <row r="45" spans="3:14">
      <c r="C45" t="s">
        <v>38</v>
      </c>
      <c r="D45" s="24"/>
      <c r="E45" s="24">
        <v>69905</v>
      </c>
      <c r="F45" s="24">
        <v>80876</v>
      </c>
      <c r="G45" s="29">
        <f>F45*(1+G35)</f>
        <v>93163.69580817387</v>
      </c>
      <c r="H45" s="29">
        <f>G45*(1+H35)</f>
        <v>105137.49221472978</v>
      </c>
      <c r="I45" s="29">
        <f>H45*(1+I35)</f>
        <v>116577.63061776415</v>
      </c>
      <c r="J45" s="29">
        <f>I45*(1+J35)</f>
        <v>127403.51871371</v>
      </c>
      <c r="K45" s="29">
        <f>J45*(1+K35)</f>
        <v>137634.48381925197</v>
      </c>
    </row>
    <row r="46" spans="3:14">
      <c r="C46" t="s">
        <v>39</v>
      </c>
      <c r="D46" s="24"/>
      <c r="E46" s="24">
        <v>938</v>
      </c>
      <c r="F46" s="24">
        <v>1397</v>
      </c>
      <c r="G46" s="29">
        <f>F46*G17/F17</f>
        <v>1609.2497532521252</v>
      </c>
      <c r="H46" s="29">
        <f>G46*H17/G17</f>
        <v>1816.077410158483</v>
      </c>
      <c r="I46" s="29">
        <f>H46*I17/H17</f>
        <v>2013.6870019909056</v>
      </c>
      <c r="J46" s="29">
        <f>I46*J17/I17</f>
        <v>2200.6864291390875</v>
      </c>
      <c r="K46" s="29">
        <f>J46*K17/J17</f>
        <v>2377.40953923902</v>
      </c>
    </row>
    <row r="47" spans="3:14">
      <c r="C47" t="s">
        <v>40</v>
      </c>
      <c r="D47" s="24"/>
      <c r="E47" s="24">
        <v>25723</v>
      </c>
      <c r="F47" s="24">
        <v>48594</v>
      </c>
      <c r="G47" s="29">
        <f>F47*(1+G35)</f>
        <v>55977.009670389256</v>
      </c>
      <c r="H47" s="29">
        <f>G47*(1+H35)</f>
        <v>63171.414222792664</v>
      </c>
      <c r="I47" s="29">
        <f>H47*(1+I35)</f>
        <v>70045.172637613534</v>
      </c>
      <c r="J47" s="29">
        <f>I47*(1+J35)</f>
        <v>76549.861372644853</v>
      </c>
      <c r="K47" s="29">
        <f>J47*(1+K35)</f>
        <v>82697.093163765923</v>
      </c>
    </row>
    <row r="48" spans="3:14">
      <c r="C48" t="s">
        <v>41</v>
      </c>
      <c r="D48" s="24"/>
      <c r="E48" s="24">
        <v>204966</v>
      </c>
      <c r="F48" s="24">
        <v>313076</v>
      </c>
      <c r="G48" s="29">
        <f>G98</f>
        <v>404457.70225177379</v>
      </c>
      <c r="H48" s="29">
        <f>H98</f>
        <v>504569.56097940274</v>
      </c>
      <c r="I48" s="29">
        <f>I98</f>
        <v>612232.07888072194</v>
      </c>
      <c r="J48" s="29">
        <f>J98</f>
        <v>726239.54513661517</v>
      </c>
      <c r="K48" s="29">
        <f>K98</f>
        <v>845455.82712245546</v>
      </c>
    </row>
    <row r="49" spans="3:14">
      <c r="C49" t="s">
        <v>42</v>
      </c>
      <c r="D49" s="24"/>
      <c r="E49" s="24">
        <v>222906</v>
      </c>
      <c r="F49" s="24">
        <v>237590</v>
      </c>
      <c r="G49" s="29">
        <f>F49*(1+G35)</f>
        <v>273687.65130649426</v>
      </c>
      <c r="H49" s="29">
        <f>G49*(1+H35)</f>
        <v>308863.15810991701</v>
      </c>
      <c r="I49" s="29">
        <f>H49*(1+I35)</f>
        <v>342470.93400359299</v>
      </c>
      <c r="J49" s="29">
        <f>I49*(1+J35)</f>
        <v>374274.22240454971</v>
      </c>
      <c r="K49" s="29">
        <f>J49*(1+K35)</f>
        <v>404329.80130837433</v>
      </c>
    </row>
    <row r="50" spans="3:14">
      <c r="C50" s="35" t="s">
        <v>43</v>
      </c>
      <c r="D50" s="27"/>
      <c r="E50" s="27">
        <f t="shared" ref="E50:K50" si="9">SUM(E44:E49)</f>
        <v>619003</v>
      </c>
      <c r="F50" s="27">
        <f t="shared" si="9"/>
        <v>758376</v>
      </c>
      <c r="G50" s="28">
        <f t="shared" ca="1" si="9"/>
        <v>918723.45572943042</v>
      </c>
      <c r="H50" s="28">
        <f t="shared" ca="1" si="9"/>
        <v>1099162.5496476858</v>
      </c>
      <c r="I50" s="28">
        <f t="shared" ca="1" si="9"/>
        <v>1298463.1049943797</v>
      </c>
      <c r="J50" s="28">
        <f t="shared" ca="1" si="9"/>
        <v>1515754.073523968</v>
      </c>
      <c r="K50" s="28">
        <f t="shared" ca="1" si="9"/>
        <v>1750555.5164890424</v>
      </c>
    </row>
    <row r="51" spans="3:14">
      <c r="C51" s="33"/>
      <c r="D51" s="50"/>
      <c r="G51" s="32"/>
      <c r="H51" s="32"/>
      <c r="I51" s="51"/>
      <c r="J51" s="51"/>
      <c r="K51" s="32"/>
    </row>
    <row r="52" spans="3:14">
      <c r="C52" s="33" t="s">
        <v>44</v>
      </c>
      <c r="D52" s="24"/>
      <c r="E52" s="24">
        <v>27724</v>
      </c>
      <c r="F52" s="24">
        <v>42416</v>
      </c>
      <c r="G52" s="29">
        <f>F52*G17/F17</f>
        <v>48860.370460946418</v>
      </c>
      <c r="H52" s="29">
        <f>G52*H17/G17</f>
        <v>55140.11412260717</v>
      </c>
      <c r="I52" s="29">
        <f>H52*I17/H17</f>
        <v>61139.977005330184</v>
      </c>
      <c r="J52" s="29">
        <f>I52*J17/I17</f>
        <v>66817.69189575057</v>
      </c>
      <c r="K52" s="29">
        <f>J52*K17/J17</f>
        <v>72183.395144139082</v>
      </c>
    </row>
    <row r="53" spans="3:14">
      <c r="C53" s="33" t="s">
        <v>45</v>
      </c>
      <c r="D53" s="24"/>
      <c r="E53" s="24">
        <v>45940</v>
      </c>
      <c r="F53" s="24">
        <v>44217</v>
      </c>
      <c r="G53" s="29">
        <f>F53*(G35+1)</f>
        <v>50935.000958875615</v>
      </c>
      <c r="H53" s="29">
        <f>G53*(H35+1)</f>
        <v>57481.384999984009</v>
      </c>
      <c r="I53" s="29">
        <f>H53*(I35+1)</f>
        <v>63736.004414482391</v>
      </c>
      <c r="J53" s="29">
        <f>I53*(J35+1)</f>
        <v>69654.797306544773</v>
      </c>
      <c r="K53" s="29">
        <f>J53*(K35+1)</f>
        <v>75248.330419850943</v>
      </c>
    </row>
    <row r="54" spans="3:14">
      <c r="C54" s="33" t="s">
        <v>46</v>
      </c>
      <c r="D54" s="24"/>
      <c r="E54" s="24">
        <v>67265</v>
      </c>
      <c r="F54" s="24">
        <v>75712</v>
      </c>
      <c r="G54" s="29">
        <f>F54*(1+G35)</f>
        <v>87215.116190569024</v>
      </c>
      <c r="H54" s="29">
        <f>G54*(1+H35)</f>
        <v>98424.375717909163</v>
      </c>
      <c r="I54" s="29">
        <f>H54*(1+I35)</f>
        <v>109134.05174998962</v>
      </c>
      <c r="J54" s="29">
        <f>I54*(1+J35)</f>
        <v>119268.69786898972</v>
      </c>
      <c r="K54" s="29">
        <f>J54*(1+K35)</f>
        <v>128846.40732631693</v>
      </c>
    </row>
    <row r="55" spans="3:14">
      <c r="C55" s="33" t="s">
        <v>47</v>
      </c>
      <c r="D55" s="24"/>
      <c r="E55" s="24">
        <v>0</v>
      </c>
      <c r="F55" s="24">
        <v>0</v>
      </c>
      <c r="G55" s="29">
        <v>0</v>
      </c>
      <c r="H55" s="29">
        <v>0</v>
      </c>
      <c r="I55" s="29">
        <v>0</v>
      </c>
      <c r="J55" s="29">
        <v>0</v>
      </c>
      <c r="K55" s="29">
        <v>0</v>
      </c>
      <c r="N55" s="168" t="s">
        <v>32</v>
      </c>
    </row>
    <row r="56" spans="3:14">
      <c r="C56" s="33" t="s">
        <v>48</v>
      </c>
      <c r="D56" s="24"/>
      <c r="E56" s="24">
        <v>43151</v>
      </c>
      <c r="F56" s="24">
        <v>40294</v>
      </c>
      <c r="G56" s="29">
        <f>F56</f>
        <v>40294</v>
      </c>
      <c r="H56" s="29">
        <f>G56</f>
        <v>40294</v>
      </c>
      <c r="I56" s="29">
        <f>H56</f>
        <v>40294</v>
      </c>
      <c r="J56" s="29">
        <f>I56</f>
        <v>40294</v>
      </c>
      <c r="K56" s="29">
        <f>J56</f>
        <v>40294</v>
      </c>
    </row>
    <row r="57" spans="3:14">
      <c r="C57" s="33" t="s">
        <v>49</v>
      </c>
      <c r="D57" s="24"/>
      <c r="E57" s="24">
        <v>91444</v>
      </c>
      <c r="F57" s="24">
        <v>113350</v>
      </c>
      <c r="G57" s="29">
        <f>F57*(G35+1)</f>
        <v>130571.55299293374</v>
      </c>
      <c r="H57" s="29">
        <f>G57*(H35+1)</f>
        <v>147353.16710197859</v>
      </c>
      <c r="I57" s="29">
        <f>H57*(I35+1)</f>
        <v>163386.84443498155</v>
      </c>
      <c r="J57" s="29">
        <f>I57*(J35+1)</f>
        <v>178559.63260051227</v>
      </c>
      <c r="K57" s="29">
        <f>J57*(K35+1)</f>
        <v>192898.61937920042</v>
      </c>
    </row>
    <row r="58" spans="3:14">
      <c r="C58" s="35" t="s">
        <v>50</v>
      </c>
      <c r="D58" s="27"/>
      <c r="E58" s="27">
        <f t="shared" ref="E58:K58" si="10">SUM(E52:E57)</f>
        <v>275524</v>
      </c>
      <c r="F58" s="27">
        <f t="shared" si="10"/>
        <v>315989</v>
      </c>
      <c r="G58" s="28">
        <f t="shared" si="10"/>
        <v>357876.04060332477</v>
      </c>
      <c r="H58" s="28">
        <f t="shared" si="10"/>
        <v>398693.04194247897</v>
      </c>
      <c r="I58" s="28">
        <f t="shared" si="10"/>
        <v>437690.87760478375</v>
      </c>
      <c r="J58" s="28">
        <f t="shared" si="10"/>
        <v>474594.81967179733</v>
      </c>
      <c r="K58" s="28">
        <f t="shared" si="10"/>
        <v>509470.75226950739</v>
      </c>
    </row>
    <row r="59" spans="3:14">
      <c r="C59" s="35"/>
      <c r="D59" s="27"/>
      <c r="E59" s="52"/>
      <c r="F59" s="52"/>
      <c r="G59" s="32"/>
      <c r="H59" s="32"/>
      <c r="I59" s="51"/>
      <c r="J59" s="51"/>
      <c r="K59" s="32"/>
    </row>
    <row r="60" spans="3:14">
      <c r="C60" s="33" t="s">
        <v>51</v>
      </c>
      <c r="D60" s="24"/>
      <c r="E60" s="24">
        <v>109095</v>
      </c>
      <c r="F60" s="24">
        <v>117406</v>
      </c>
      <c r="G60" s="29">
        <f>F60+G31</f>
        <v>131695.72311316579</v>
      </c>
      <c r="H60" s="29">
        <f>G60+H31</f>
        <v>147822.02252119442</v>
      </c>
      <c r="I60" s="29">
        <f>H60+I31</f>
        <v>165703.04418167917</v>
      </c>
      <c r="J60" s="29">
        <f>I60+J31</f>
        <v>185244.57256641102</v>
      </c>
      <c r="K60" s="29">
        <f>J60+K31</f>
        <v>206355.35662815766</v>
      </c>
    </row>
    <row r="61" spans="3:14">
      <c r="C61" s="33" t="s">
        <v>52</v>
      </c>
      <c r="D61" s="53"/>
      <c r="E61" s="24">
        <v>237731</v>
      </c>
      <c r="F61" s="24">
        <v>328265</v>
      </c>
      <c r="G61" s="29">
        <f ca="1">G118</f>
        <v>432435.69201293983</v>
      </c>
      <c r="H61" s="29">
        <f ca="1">H118</f>
        <v>555931.48518401245</v>
      </c>
      <c r="I61" s="29">
        <f ca="1">I118</f>
        <v>698353.18320791703</v>
      </c>
      <c r="J61" s="29">
        <f ca="1">J118</f>
        <v>859198.68128575943</v>
      </c>
      <c r="K61" s="29">
        <f ca="1">K118</f>
        <v>1038013.4075913774</v>
      </c>
    </row>
    <row r="62" spans="3:14">
      <c r="C62" s="33" t="s">
        <v>53</v>
      </c>
      <c r="D62" s="24"/>
      <c r="E62" s="24">
        <v>-3347</v>
      </c>
      <c r="F62" s="24">
        <v>-3284</v>
      </c>
      <c r="G62" s="29">
        <v>-3284</v>
      </c>
      <c r="H62" s="29">
        <v>-3284</v>
      </c>
      <c r="I62" s="29">
        <v>-3284</v>
      </c>
      <c r="J62" s="29">
        <v>-3284</v>
      </c>
      <c r="K62" s="29">
        <v>-3284</v>
      </c>
    </row>
    <row r="63" spans="3:14">
      <c r="C63" s="35" t="s">
        <v>54</v>
      </c>
      <c r="D63" s="54"/>
      <c r="E63" s="27">
        <f t="shared" ref="E63:G63" si="11">SUM(E60:E62)</f>
        <v>343479</v>
      </c>
      <c r="F63" s="27">
        <f t="shared" si="11"/>
        <v>442387</v>
      </c>
      <c r="G63" s="28">
        <f t="shared" ca="1" si="11"/>
        <v>560847.41512610565</v>
      </c>
      <c r="H63" s="28">
        <f t="shared" ref="H63" ca="1" si="12">SUM(H60:H62)</f>
        <v>700469.50770520687</v>
      </c>
      <c r="I63" s="28">
        <f t="shared" ref="I63" ca="1" si="13">SUM(I60:I62)</f>
        <v>860772.22738959617</v>
      </c>
      <c r="J63" s="28">
        <f t="shared" ref="J63" ca="1" si="14">SUM(J60:J62)</f>
        <v>1041159.2538521704</v>
      </c>
      <c r="K63" s="28">
        <f t="shared" ref="K63" ca="1" si="15">SUM(K60:K62)</f>
        <v>1241084.764219535</v>
      </c>
    </row>
    <row r="64" spans="3:14">
      <c r="D64" s="50"/>
      <c r="E64" s="50"/>
      <c r="F64" s="50"/>
    </row>
    <row r="65" spans="3:13">
      <c r="C65" s="21" t="s">
        <v>55</v>
      </c>
      <c r="D65" s="55"/>
      <c r="E65" s="55">
        <f t="shared" ref="E65:K65" si="16">ROUND(E50-E58-E63,3)</f>
        <v>0</v>
      </c>
      <c r="F65" s="55">
        <f t="shared" si="16"/>
        <v>0</v>
      </c>
      <c r="G65" s="55">
        <f t="shared" ca="1" si="16"/>
        <v>0</v>
      </c>
      <c r="H65" s="55">
        <f t="shared" ca="1" si="16"/>
        <v>0</v>
      </c>
      <c r="I65" s="55">
        <f t="shared" ca="1" si="16"/>
        <v>0</v>
      </c>
      <c r="J65" s="55">
        <f t="shared" ca="1" si="16"/>
        <v>0</v>
      </c>
      <c r="K65" s="55">
        <f t="shared" ca="1" si="16"/>
        <v>0</v>
      </c>
      <c r="L65" s="55"/>
      <c r="M65" s="55"/>
    </row>
    <row r="66" spans="3:13">
      <c r="E66" s="50"/>
      <c r="F66" s="50"/>
    </row>
    <row r="67" spans="3:13">
      <c r="C67" s="13" t="s">
        <v>56</v>
      </c>
      <c r="D67" s="42"/>
      <c r="E67" s="42"/>
      <c r="F67" s="42"/>
      <c r="G67" s="42"/>
      <c r="H67" s="42"/>
      <c r="I67" s="42"/>
      <c r="J67" s="42"/>
      <c r="K67" s="42"/>
    </row>
    <row r="68" spans="3:13">
      <c r="C68" s="44" t="str">
        <f>C13</f>
        <v>Fiscal year</v>
      </c>
      <c r="D68" s="45"/>
      <c r="E68" s="45"/>
      <c r="F68" s="45"/>
      <c r="G68" s="56">
        <f t="shared" ref="G68:K69" si="17">G13</f>
        <v>2027</v>
      </c>
      <c r="H68" s="56">
        <f t="shared" si="17"/>
        <v>2028</v>
      </c>
      <c r="I68" s="56">
        <f t="shared" si="17"/>
        <v>2029</v>
      </c>
      <c r="J68" s="56">
        <f t="shared" si="17"/>
        <v>2030</v>
      </c>
      <c r="K68" s="56">
        <f t="shared" si="17"/>
        <v>2031</v>
      </c>
    </row>
    <row r="69" spans="3:13">
      <c r="C69" s="48" t="str">
        <f>C14</f>
        <v>Fiscal year end date</v>
      </c>
      <c r="D69" s="49"/>
      <c r="E69" s="49"/>
      <c r="F69" s="49"/>
      <c r="G69" s="49">
        <f t="shared" si="17"/>
        <v>46568</v>
      </c>
      <c r="H69" s="49">
        <f t="shared" si="17"/>
        <v>46934</v>
      </c>
      <c r="I69" s="49">
        <f t="shared" si="17"/>
        <v>47299</v>
      </c>
      <c r="J69" s="49">
        <f t="shared" si="17"/>
        <v>47664</v>
      </c>
      <c r="K69" s="49">
        <f t="shared" si="17"/>
        <v>48029</v>
      </c>
    </row>
    <row r="71" spans="3:13">
      <c r="C71" t="s">
        <v>24</v>
      </c>
      <c r="D71" s="57"/>
      <c r="E71" s="57"/>
      <c r="F71" s="57"/>
      <c r="G71" s="58">
        <f ca="1">G27</f>
        <v>152886.69201293986</v>
      </c>
      <c r="H71" s="58">
        <f ca="1">H27</f>
        <v>172211.79317107255</v>
      </c>
      <c r="I71" s="58">
        <f ca="1">I27</f>
        <v>191137.69802390452</v>
      </c>
      <c r="J71" s="58">
        <f ca="1">J27</f>
        <v>209561.49807784247</v>
      </c>
      <c r="K71" s="58">
        <f ca="1">K27</f>
        <v>227530.72630561789</v>
      </c>
    </row>
    <row r="72" spans="3:13">
      <c r="C72" t="s">
        <v>57</v>
      </c>
      <c r="D72" s="57"/>
      <c r="E72" s="57"/>
      <c r="F72" s="57"/>
      <c r="G72" s="58">
        <f>G105</f>
        <v>47059.853829362168</v>
      </c>
      <c r="H72" s="58">
        <f>H105</f>
        <v>56122.797899190569</v>
      </c>
      <c r="I72" s="58">
        <f>I105</f>
        <v>65572.221735954241</v>
      </c>
      <c r="J72" s="58">
        <f>J105</f>
        <v>75314.578430430309</v>
      </c>
      <c r="K72" s="58">
        <f>K105</f>
        <v>85309.010243811761</v>
      </c>
    </row>
    <row r="73" spans="3:13">
      <c r="C73" t="s">
        <v>27</v>
      </c>
      <c r="D73" s="57"/>
      <c r="E73" s="57"/>
      <c r="F73" s="57"/>
      <c r="G73" s="58">
        <f>G31</f>
        <v>14289.723113165795</v>
      </c>
      <c r="H73" s="58">
        <f>H31</f>
        <v>16126.299408028623</v>
      </c>
      <c r="I73" s="58">
        <f>I31</f>
        <v>17881.021660484748</v>
      </c>
      <c r="J73" s="58">
        <f>J31</f>
        <v>19541.528384731846</v>
      </c>
      <c r="K73" s="58">
        <f>K31</f>
        <v>21110.784061746639</v>
      </c>
    </row>
    <row r="74" spans="3:13">
      <c r="C74" t="s">
        <v>58</v>
      </c>
      <c r="D74" s="50"/>
      <c r="E74" s="50"/>
      <c r="F74" s="50"/>
      <c r="G74" s="58">
        <f>-1*(SUM(G45:G47)-SUM(F45:F47))</f>
        <v>-19882.955231815256</v>
      </c>
      <c r="H74" s="58">
        <f>-1*(SUM(H45:H47)-SUM(G45:G47))</f>
        <v>-19375.028615865653</v>
      </c>
      <c r="I74" s="58">
        <f>-1*(SUM(I45:I47)-SUM(H45:H47))</f>
        <v>-18511.506409687689</v>
      </c>
      <c r="J74" s="58">
        <f>-1*(SUM(J45:J47)-SUM(I45:I47))</f>
        <v>-17517.576258125337</v>
      </c>
      <c r="K74" s="58">
        <f>-1*(SUM(K45:K47)-SUM(J45:J47))</f>
        <v>-16554.920006762986</v>
      </c>
    </row>
    <row r="75" spans="3:13">
      <c r="C75" t="s">
        <v>59</v>
      </c>
      <c r="D75" s="50"/>
      <c r="E75" s="50"/>
      <c r="F75" s="50"/>
      <c r="G75" s="58">
        <f>SUM(G52:G54)-SUM(F52:F54)</f>
        <v>24665.48761039105</v>
      </c>
      <c r="H75" s="58">
        <f>SUM(H52:H54)-SUM(G52:G54)</f>
        <v>24035.387230109307</v>
      </c>
      <c r="I75" s="58">
        <f>SUM(I52:I54)-SUM(H52:H54)</f>
        <v>22964.158329301834</v>
      </c>
      <c r="J75" s="58">
        <f>SUM(J52:J54)-SUM(I52:I54)</f>
        <v>21731.153901482874</v>
      </c>
      <c r="K75" s="58">
        <f>SUM(K52:K54)-SUM(J52:J54)</f>
        <v>20536.945819021872</v>
      </c>
    </row>
    <row r="76" spans="3:13">
      <c r="C76" t="s">
        <v>42</v>
      </c>
      <c r="G76" s="58">
        <f>-G110</f>
        <v>-40974.933665312768</v>
      </c>
      <c r="H76" s="58">
        <f>-H110</f>
        <v>-40679.63833857741</v>
      </c>
      <c r="I76" s="58">
        <f>-I110</f>
        <v>-39710.818675658433</v>
      </c>
      <c r="J76" s="58">
        <f>-J110</f>
        <v>-38473.085352263006</v>
      </c>
      <c r="K76" s="58">
        <f>-K110</f>
        <v>-37260.984765770205</v>
      </c>
    </row>
    <row r="77" spans="3:13">
      <c r="C77" t="s">
        <v>49</v>
      </c>
      <c r="G77" s="58">
        <f>G57-F57</f>
        <v>17221.552992933735</v>
      </c>
      <c r="H77" s="58">
        <f>H57-G57</f>
        <v>16781.614109044851</v>
      </c>
      <c r="I77" s="58">
        <f>I57-H57</f>
        <v>16033.677333002968</v>
      </c>
      <c r="J77" s="58">
        <f>J57-I57</f>
        <v>15172.788165530714</v>
      </c>
      <c r="K77" s="58">
        <f>K57-J57</f>
        <v>14338.986778688151</v>
      </c>
    </row>
    <row r="78" spans="3:13">
      <c r="C78" s="26" t="s">
        <v>60</v>
      </c>
      <c r="G78" s="59">
        <f ca="1">SUM(G71:G77)</f>
        <v>195265.42066166457</v>
      </c>
      <c r="H78" s="59">
        <f ca="1">SUM(H71:H77)</f>
        <v>225223.22486300283</v>
      </c>
      <c r="I78" s="59">
        <f ca="1">SUM(I71:I77)</f>
        <v>255366.45199730218</v>
      </c>
      <c r="J78" s="59">
        <f ca="1">SUM(J71:J77)</f>
        <v>285330.88534962985</v>
      </c>
      <c r="K78" s="59">
        <f ca="1">SUM(K71:K77)</f>
        <v>315010.54843635316</v>
      </c>
    </row>
    <row r="79" spans="3:13">
      <c r="G79" s="50"/>
      <c r="H79" s="50"/>
      <c r="I79" s="50"/>
      <c r="J79" s="50"/>
      <c r="K79" s="50"/>
    </row>
    <row r="80" spans="3:13">
      <c r="C80" t="s">
        <v>61</v>
      </c>
      <c r="G80" s="58">
        <f>(G96)*-1</f>
        <v>-133564.27372231742</v>
      </c>
      <c r="H80" s="58">
        <f>(H96)*-1</f>
        <v>-150730.52509166487</v>
      </c>
      <c r="I80" s="58">
        <f>(I96)*-1</f>
        <v>-167131.69685529103</v>
      </c>
      <c r="J80" s="58">
        <f>(J96)*-1</f>
        <v>-182652.24773501715</v>
      </c>
      <c r="K80" s="58">
        <f>(K96)*-1</f>
        <v>-197319.88636770647</v>
      </c>
    </row>
    <row r="81" spans="3:11">
      <c r="C81" s="26" t="s">
        <v>62</v>
      </c>
      <c r="G81" s="59">
        <f>IFERROR(G80,"NA")</f>
        <v>-133564.27372231742</v>
      </c>
      <c r="H81" s="59">
        <f>IFERROR(H80,"NA")</f>
        <v>-150730.52509166487</v>
      </c>
      <c r="I81" s="59">
        <f>IFERROR(I80,"NA")</f>
        <v>-167131.69685529103</v>
      </c>
      <c r="J81" s="59">
        <f>IFERROR(J80,"NA")</f>
        <v>-182652.24773501715</v>
      </c>
      <c r="K81" s="59">
        <f>IFERROR(K80,"NA")</f>
        <v>-197319.88636770647</v>
      </c>
    </row>
    <row r="82" spans="3:11">
      <c r="G82" s="50"/>
      <c r="H82" s="50"/>
      <c r="I82" s="50"/>
      <c r="J82" s="50"/>
      <c r="K82" s="50"/>
    </row>
    <row r="83" spans="3:11">
      <c r="C83" t="s">
        <v>63</v>
      </c>
      <c r="G83" s="58">
        <f>G56-F56</f>
        <v>0</v>
      </c>
      <c r="H83" s="58">
        <f>H56-G56</f>
        <v>0</v>
      </c>
      <c r="I83" s="58">
        <f>I56-H56</f>
        <v>0</v>
      </c>
      <c r="J83" s="58">
        <f>J56-I56</f>
        <v>0</v>
      </c>
      <c r="K83" s="58">
        <f>K56-J56</f>
        <v>0</v>
      </c>
    </row>
    <row r="84" spans="3:11">
      <c r="C84" t="s">
        <v>64</v>
      </c>
      <c r="G84" s="58">
        <f>G55</f>
        <v>0</v>
      </c>
      <c r="H84" s="58">
        <f>H55</f>
        <v>0</v>
      </c>
      <c r="I84" s="58">
        <f>I55</f>
        <v>0</v>
      </c>
      <c r="J84" s="58">
        <f>J55</f>
        <v>0</v>
      </c>
      <c r="K84" s="58">
        <f>K55</f>
        <v>0</v>
      </c>
    </row>
    <row r="85" spans="3:11">
      <c r="C85" t="s">
        <v>65</v>
      </c>
      <c r="G85" s="58">
        <f>G117</f>
        <v>-22271</v>
      </c>
      <c r="H85" s="58">
        <f>H117</f>
        <v>-22271</v>
      </c>
      <c r="I85" s="58">
        <f>I117</f>
        <v>-22271</v>
      </c>
      <c r="J85" s="58">
        <f>J117</f>
        <v>-22271</v>
      </c>
      <c r="K85" s="58">
        <f>K117</f>
        <v>-22271</v>
      </c>
    </row>
    <row r="86" spans="3:11">
      <c r="C86" t="s">
        <v>66</v>
      </c>
      <c r="G86" s="58">
        <f>G116</f>
        <v>-26445</v>
      </c>
      <c r="H86" s="58">
        <f>H116</f>
        <v>-26445</v>
      </c>
      <c r="I86" s="58">
        <f>I116</f>
        <v>-26445</v>
      </c>
      <c r="J86" s="58">
        <f>J116</f>
        <v>-26445</v>
      </c>
      <c r="K86" s="58">
        <f>K116</f>
        <v>-26445</v>
      </c>
    </row>
    <row r="87" spans="3:11">
      <c r="C87" s="26" t="s">
        <v>67</v>
      </c>
      <c r="G87" s="59">
        <f>SUM(G83:G86)</f>
        <v>-48716</v>
      </c>
      <c r="H87" s="59">
        <f>SUM(H83:H86)</f>
        <v>-48716</v>
      </c>
      <c r="I87" s="59">
        <f>SUM(I83:I86)</f>
        <v>-48716</v>
      </c>
      <c r="J87" s="59">
        <f>SUM(J83:J86)</f>
        <v>-48716</v>
      </c>
      <c r="K87" s="59">
        <f>SUM(K83:K86)</f>
        <v>-48716</v>
      </c>
    </row>
    <row r="88" spans="3:11">
      <c r="G88" s="50"/>
      <c r="H88" s="50"/>
      <c r="I88" s="50"/>
      <c r="J88" s="50"/>
      <c r="K88" s="50"/>
    </row>
    <row r="89" spans="3:11">
      <c r="C89" s="26" t="s">
        <v>68</v>
      </c>
      <c r="G89" s="59">
        <f ca="1">G78+G81+G87</f>
        <v>12985.146939347149</v>
      </c>
      <c r="H89" s="59">
        <f ca="1">H78+H81+H87</f>
        <v>25776.699771337968</v>
      </c>
      <c r="I89" s="59">
        <f ca="1">I78+I81+I87</f>
        <v>39518.755142011156</v>
      </c>
      <c r="J89" s="59">
        <f ca="1">J78+J81+J87</f>
        <v>53962.6376146127</v>
      </c>
      <c r="K89" s="59">
        <f ca="1">K78+K81+K87</f>
        <v>68974.662068646692</v>
      </c>
    </row>
    <row r="91" spans="3:11">
      <c r="C91" s="13" t="s">
        <v>69</v>
      </c>
      <c r="D91" s="13"/>
      <c r="E91" s="13"/>
      <c r="F91" s="13"/>
      <c r="G91" s="13"/>
      <c r="H91" s="13"/>
      <c r="I91" s="13"/>
      <c r="J91" s="13"/>
      <c r="K91" s="13"/>
    </row>
    <row r="92" spans="3:11">
      <c r="C92" s="44" t="str">
        <f t="shared" ref="C92:K92" si="18">C13</f>
        <v>Fiscal year</v>
      </c>
      <c r="D92" s="45">
        <f t="shared" si="18"/>
        <v>2024</v>
      </c>
      <c r="E92" s="45">
        <f t="shared" si="18"/>
        <v>2025</v>
      </c>
      <c r="F92" s="45">
        <f t="shared" si="18"/>
        <v>2026</v>
      </c>
      <c r="G92" s="56">
        <f t="shared" si="18"/>
        <v>2027</v>
      </c>
      <c r="H92" s="56">
        <f t="shared" si="18"/>
        <v>2028</v>
      </c>
      <c r="I92" s="56">
        <f t="shared" si="18"/>
        <v>2029</v>
      </c>
      <c r="J92" s="56">
        <f t="shared" si="18"/>
        <v>2030</v>
      </c>
      <c r="K92" s="56">
        <f t="shared" si="18"/>
        <v>2031</v>
      </c>
    </row>
    <row r="93" spans="3:11">
      <c r="C93" s="48" t="str">
        <f t="shared" ref="C93:K93" si="19">C14</f>
        <v>Fiscal year end date</v>
      </c>
      <c r="D93" s="49">
        <f t="shared" si="19"/>
        <v>45473</v>
      </c>
      <c r="E93" s="49">
        <f t="shared" si="19"/>
        <v>45838</v>
      </c>
      <c r="F93" s="49">
        <f t="shared" si="19"/>
        <v>46203</v>
      </c>
      <c r="G93" s="49">
        <f t="shared" si="19"/>
        <v>46568</v>
      </c>
      <c r="H93" s="49">
        <f t="shared" si="19"/>
        <v>46934</v>
      </c>
      <c r="I93" s="49">
        <f t="shared" si="19"/>
        <v>47299</v>
      </c>
      <c r="J93" s="49">
        <f t="shared" si="19"/>
        <v>47664</v>
      </c>
      <c r="K93" s="49">
        <f t="shared" si="19"/>
        <v>48029</v>
      </c>
    </row>
    <row r="94" spans="3:11">
      <c r="C94" s="26"/>
      <c r="G94" s="200" t="s">
        <v>70</v>
      </c>
      <c r="H94" s="201"/>
      <c r="I94" s="201"/>
      <c r="J94" s="201"/>
      <c r="K94" s="201"/>
    </row>
    <row r="95" spans="3:11">
      <c r="C95" s="33" t="s">
        <v>71</v>
      </c>
      <c r="F95" s="60">
        <f t="shared" ref="F95:K95" si="20">E98</f>
        <v>204966</v>
      </c>
      <c r="G95" s="58">
        <f t="shared" si="20"/>
        <v>313076</v>
      </c>
      <c r="H95" s="58">
        <f t="shared" si="20"/>
        <v>404457.70225177379</v>
      </c>
      <c r="I95" s="58">
        <f t="shared" si="20"/>
        <v>504569.56097940274</v>
      </c>
      <c r="J95" s="58">
        <f t="shared" si="20"/>
        <v>612232.07888072194</v>
      </c>
      <c r="K95" s="58">
        <f t="shared" si="20"/>
        <v>726239.54513661517</v>
      </c>
    </row>
    <row r="96" spans="3:11">
      <c r="C96" s="30" t="s">
        <v>72</v>
      </c>
      <c r="D96" s="60">
        <v>44477</v>
      </c>
      <c r="E96" s="60">
        <v>64551</v>
      </c>
      <c r="F96" s="60">
        <v>115948</v>
      </c>
      <c r="G96" s="58">
        <f>F96*(1+G35)</f>
        <v>133564.27372231742</v>
      </c>
      <c r="H96" s="58">
        <f>G96*(1+H35)</f>
        <v>150730.52509166487</v>
      </c>
      <c r="I96" s="58">
        <f>H96*(1+I35)</f>
        <v>167131.69685529103</v>
      </c>
      <c r="J96" s="58">
        <f>I96*(1+J35)</f>
        <v>182652.24773501715</v>
      </c>
      <c r="K96" s="58">
        <f>J96*(1+K35)</f>
        <v>197319.88636770647</v>
      </c>
    </row>
    <row r="97" spans="3:14">
      <c r="C97" s="61" t="s">
        <v>73</v>
      </c>
      <c r="D97" s="60">
        <v>-15200</v>
      </c>
      <c r="E97" s="60">
        <v>-22000</v>
      </c>
      <c r="F97" s="60">
        <v>-34300</v>
      </c>
      <c r="G97" s="62">
        <f>-(G100*G96)</f>
        <v>-42182.571470543626</v>
      </c>
      <c r="H97" s="62">
        <f>-(H100*H96)</f>
        <v>-50618.66636403594</v>
      </c>
      <c r="I97" s="62">
        <f>-(I100*I96)</f>
        <v>-59469.178953971779</v>
      </c>
      <c r="J97" s="62">
        <f>-(J100*J96)</f>
        <v>-68644.781479124009</v>
      </c>
      <c r="K97" s="62">
        <f>-(K100*K96)</f>
        <v>-78103.604381866156</v>
      </c>
    </row>
    <row r="98" spans="3:14">
      <c r="C98" s="63" t="s">
        <v>74</v>
      </c>
      <c r="D98" s="54"/>
      <c r="E98" s="54">
        <f>E48</f>
        <v>204966</v>
      </c>
      <c r="F98" s="54">
        <f>F48</f>
        <v>313076</v>
      </c>
      <c r="G98" s="59">
        <f>SUM(G95:G97)</f>
        <v>404457.70225177379</v>
      </c>
      <c r="H98" s="59">
        <f>SUM(H95:H97)</f>
        <v>504569.56097940274</v>
      </c>
      <c r="I98" s="59">
        <f>SUM(I95:I97)</f>
        <v>612232.07888072194</v>
      </c>
      <c r="J98" s="59">
        <f>SUM(J95:J97)</f>
        <v>726239.54513661517</v>
      </c>
      <c r="K98" s="59">
        <f>SUM(K95:K97)</f>
        <v>845455.82712245546</v>
      </c>
      <c r="M98" s="64"/>
    </row>
    <row r="99" spans="3:14">
      <c r="C99" s="33"/>
    </row>
    <row r="100" spans="3:14">
      <c r="C100" s="33" t="s">
        <v>75</v>
      </c>
      <c r="D100" s="65">
        <f>-(D97/D96)</f>
        <v>0.34174966836792048</v>
      </c>
      <c r="E100" s="65">
        <f>-(E97/E96)</f>
        <v>0.34081578906600984</v>
      </c>
      <c r="F100" s="65">
        <f>-(F97/F96)</f>
        <v>0.29582226515334459</v>
      </c>
      <c r="G100" s="66">
        <f>F100+$M$100</f>
        <v>0.31582226515334461</v>
      </c>
      <c r="H100" s="66">
        <f>G100+$M$100</f>
        <v>0.33582226515334462</v>
      </c>
      <c r="I100" s="66">
        <f>H100+$M$100</f>
        <v>0.35582226515334464</v>
      </c>
      <c r="J100" s="66">
        <f>I100+$M$100</f>
        <v>0.37582226515334466</v>
      </c>
      <c r="K100" s="66">
        <f>J100+$M$100</f>
        <v>0.39582226515334468</v>
      </c>
      <c r="M100" s="66">
        <v>0.02</v>
      </c>
      <c r="N100" s="168" t="s">
        <v>76</v>
      </c>
    </row>
    <row r="101" spans="3:14">
      <c r="C101" s="33"/>
      <c r="D101" s="65"/>
      <c r="E101" s="65"/>
      <c r="F101" s="65"/>
      <c r="G101" s="67"/>
      <c r="H101" s="67"/>
      <c r="I101" s="67"/>
      <c r="J101" s="67"/>
      <c r="K101" s="67"/>
    </row>
    <row r="102" spans="3:14">
      <c r="C102" s="13" t="s">
        <v>77</v>
      </c>
      <c r="D102" s="13"/>
      <c r="E102" s="13"/>
      <c r="F102" s="13"/>
      <c r="G102" s="13"/>
      <c r="H102" s="13"/>
      <c r="I102" s="13"/>
      <c r="J102" s="13"/>
      <c r="K102" s="13"/>
    </row>
    <row r="103" spans="3:14">
      <c r="C103" s="33" t="s">
        <v>78</v>
      </c>
      <c r="D103" s="50">
        <f>D105+D97</f>
        <v>7087</v>
      </c>
      <c r="E103" s="50">
        <f>E105+E97</f>
        <v>12153</v>
      </c>
      <c r="F103" s="50">
        <f>F105+F97</f>
        <v>4234</v>
      </c>
      <c r="G103" s="68">
        <f>G104*G16</f>
        <v>4877.2823588185393</v>
      </c>
      <c r="H103" s="68">
        <f>H104*H16</f>
        <v>5504.1315351546309</v>
      </c>
      <c r="I103" s="68">
        <f>I104*I16</f>
        <v>6103.0427819824608</v>
      </c>
      <c r="J103" s="68">
        <f>J104*J16</f>
        <v>6669.796951306299</v>
      </c>
      <c r="K103" s="68">
        <f>K104*K16</f>
        <v>7205.4058619456082</v>
      </c>
    </row>
    <row r="104" spans="3:14">
      <c r="C104" s="30" t="s">
        <v>79</v>
      </c>
      <c r="D104" s="69">
        <f>D103/D16</f>
        <v>2.8912133549824168E-2</v>
      </c>
      <c r="E104" s="69">
        <f>E103/E16</f>
        <v>4.3137964816629043E-2</v>
      </c>
      <c r="F104" s="69">
        <f>F103/F16</f>
        <v>1.2759199491319586E-2</v>
      </c>
      <c r="G104" s="66">
        <f>F104</f>
        <v>1.2759199491319586E-2</v>
      </c>
      <c r="H104" s="66">
        <f>G104</f>
        <v>1.2759199491319586E-2</v>
      </c>
      <c r="I104" s="66">
        <f>H104</f>
        <v>1.2759199491319586E-2</v>
      </c>
      <c r="J104" s="66">
        <f>I104</f>
        <v>1.2759199491319586E-2</v>
      </c>
      <c r="K104" s="66">
        <f>J104</f>
        <v>1.2759199491319586E-2</v>
      </c>
    </row>
    <row r="105" spans="3:14">
      <c r="C105" s="35" t="s">
        <v>80</v>
      </c>
      <c r="D105" s="54">
        <f>D29</f>
        <v>22287</v>
      </c>
      <c r="E105" s="54">
        <f>E29</f>
        <v>34153</v>
      </c>
      <c r="F105" s="54">
        <f>F29</f>
        <v>38534</v>
      </c>
      <c r="G105" s="70">
        <f>G103-G97</f>
        <v>47059.853829362168</v>
      </c>
      <c r="H105" s="70">
        <f>H103-H97</f>
        <v>56122.797899190569</v>
      </c>
      <c r="I105" s="70">
        <f>I103-I97</f>
        <v>65572.221735954241</v>
      </c>
      <c r="J105" s="70">
        <f>J103-J97</f>
        <v>75314.578430430309</v>
      </c>
      <c r="K105" s="70">
        <f>K103-K97</f>
        <v>85309.010243811761</v>
      </c>
    </row>
    <row r="106" spans="3:14">
      <c r="H106" s="50"/>
      <c r="I106" s="50"/>
      <c r="J106" s="50"/>
      <c r="K106" s="50"/>
    </row>
    <row r="107" spans="3:14">
      <c r="C107" s="13" t="s">
        <v>81</v>
      </c>
      <c r="D107" s="13"/>
      <c r="E107" s="13"/>
      <c r="F107" s="13"/>
      <c r="G107" s="13"/>
      <c r="H107" s="13"/>
      <c r="I107" s="13"/>
      <c r="J107" s="13"/>
      <c r="K107" s="13"/>
    </row>
    <row r="108" spans="3:14">
      <c r="C108" s="33" t="s">
        <v>71</v>
      </c>
      <c r="D108" s="50"/>
      <c r="G108" s="71">
        <f>F111</f>
        <v>237590</v>
      </c>
      <c r="H108" s="71">
        <f>G111</f>
        <v>273687.65130649426</v>
      </c>
      <c r="I108" s="71">
        <f>H111</f>
        <v>308863.15810991701</v>
      </c>
      <c r="J108" s="71">
        <f>I111</f>
        <v>342470.93400359299</v>
      </c>
      <c r="K108" s="71">
        <f>J111</f>
        <v>374274.22240454971</v>
      </c>
    </row>
    <row r="109" spans="3:14">
      <c r="C109" s="30" t="s">
        <v>82</v>
      </c>
      <c r="G109" s="71">
        <f>-G103</f>
        <v>-4877.2823588185393</v>
      </c>
      <c r="H109" s="71">
        <f>-H103</f>
        <v>-5504.1315351546309</v>
      </c>
      <c r="I109" s="71">
        <f>-I103</f>
        <v>-6103.0427819824608</v>
      </c>
      <c r="J109" s="71">
        <f>-J103</f>
        <v>-6669.796951306299</v>
      </c>
      <c r="K109" s="71">
        <f>-K103</f>
        <v>-7205.4058619456082</v>
      </c>
    </row>
    <row r="110" spans="3:14">
      <c r="C110" s="61" t="s">
        <v>83</v>
      </c>
      <c r="D110" s="72"/>
      <c r="E110" s="72"/>
      <c r="F110" s="72"/>
      <c r="G110" s="73">
        <f>G111-G109-G108</f>
        <v>40974.933665312768</v>
      </c>
      <c r="H110" s="73">
        <f>H111-H109-H108</f>
        <v>40679.63833857741</v>
      </c>
      <c r="I110" s="73">
        <f>I111-I109-I108</f>
        <v>39710.818675658433</v>
      </c>
      <c r="J110" s="73">
        <f>J111-J109-J108</f>
        <v>38473.085352263006</v>
      </c>
      <c r="K110" s="73">
        <f>K111-K109-K108</f>
        <v>37260.984765770205</v>
      </c>
    </row>
    <row r="111" spans="3:14">
      <c r="C111" s="63" t="s">
        <v>74</v>
      </c>
      <c r="E111" s="54">
        <f t="shared" ref="E111:K111" si="21">E49</f>
        <v>222906</v>
      </c>
      <c r="F111" s="54">
        <f t="shared" si="21"/>
        <v>237590</v>
      </c>
      <c r="G111" s="54">
        <f t="shared" si="21"/>
        <v>273687.65130649426</v>
      </c>
      <c r="H111" s="54">
        <f t="shared" si="21"/>
        <v>308863.15810991701</v>
      </c>
      <c r="I111" s="54">
        <f t="shared" si="21"/>
        <v>342470.93400359299</v>
      </c>
      <c r="J111" s="54">
        <f t="shared" si="21"/>
        <v>374274.22240454971</v>
      </c>
      <c r="K111" s="54">
        <f t="shared" si="21"/>
        <v>404329.80130837433</v>
      </c>
    </row>
    <row r="112" spans="3:14">
      <c r="C112" s="30"/>
      <c r="E112" s="50"/>
      <c r="F112" s="50"/>
      <c r="H112" s="50"/>
      <c r="I112" s="50"/>
      <c r="J112" s="50"/>
      <c r="K112" s="50"/>
    </row>
    <row r="113" spans="3:11">
      <c r="C113" s="13" t="s">
        <v>84</v>
      </c>
      <c r="D113" s="13"/>
      <c r="E113" s="13"/>
      <c r="F113" s="13"/>
      <c r="G113" s="13"/>
      <c r="H113" s="13"/>
      <c r="I113" s="13"/>
      <c r="J113" s="13"/>
      <c r="K113" s="13"/>
    </row>
    <row r="114" spans="3:11">
      <c r="C114" s="33" t="s">
        <v>71</v>
      </c>
      <c r="G114" s="58">
        <f>F118</f>
        <v>328265</v>
      </c>
      <c r="H114" s="58">
        <f ca="1">G118</f>
        <v>432435.69201293983</v>
      </c>
      <c r="I114" s="58">
        <f ca="1">H118</f>
        <v>555931.48518401245</v>
      </c>
      <c r="J114" s="58">
        <f ca="1">I118</f>
        <v>698353.18320791703</v>
      </c>
      <c r="K114" s="58">
        <f ca="1">J118</f>
        <v>859198.68128575943</v>
      </c>
    </row>
    <row r="115" spans="3:11">
      <c r="C115" s="30" t="s">
        <v>85</v>
      </c>
      <c r="D115" s="60">
        <f t="shared" ref="D115:K115" si="22">D27</f>
        <v>88136</v>
      </c>
      <c r="E115" s="60">
        <f t="shared" si="22"/>
        <v>101832</v>
      </c>
      <c r="F115" s="60">
        <f t="shared" si="22"/>
        <v>133749</v>
      </c>
      <c r="G115" s="58">
        <f ca="1">G27</f>
        <v>152886.69201293986</v>
      </c>
      <c r="H115" s="58">
        <f t="shared" ca="1" si="22"/>
        <v>172211.79317107255</v>
      </c>
      <c r="I115" s="58">
        <f t="shared" ca="1" si="22"/>
        <v>191137.69802390452</v>
      </c>
      <c r="J115" s="58">
        <f t="shared" ca="1" si="22"/>
        <v>209561.49807784247</v>
      </c>
      <c r="K115" s="58">
        <f t="shared" ca="1" si="22"/>
        <v>227530.72630561789</v>
      </c>
    </row>
    <row r="116" spans="3:11">
      <c r="C116" s="30" t="s">
        <v>86</v>
      </c>
      <c r="D116" s="60">
        <v>-21771</v>
      </c>
      <c r="E116" s="60">
        <v>-24082</v>
      </c>
      <c r="F116" s="60">
        <v>-26445</v>
      </c>
      <c r="G116" s="58">
        <f t="shared" ref="G116:K117" si="23">F116</f>
        <v>-26445</v>
      </c>
      <c r="H116" s="58">
        <f t="shared" si="23"/>
        <v>-26445</v>
      </c>
      <c r="I116" s="58">
        <f t="shared" si="23"/>
        <v>-26445</v>
      </c>
      <c r="J116" s="58">
        <f t="shared" si="23"/>
        <v>-26445</v>
      </c>
      <c r="K116" s="58">
        <f t="shared" si="23"/>
        <v>-26445</v>
      </c>
    </row>
    <row r="117" spans="3:11">
      <c r="C117" s="61" t="s">
        <v>87</v>
      </c>
      <c r="D117" s="60">
        <v>-17254</v>
      </c>
      <c r="E117" s="60">
        <v>-18420</v>
      </c>
      <c r="F117" s="60">
        <v>-22271</v>
      </c>
      <c r="G117" s="62">
        <f t="shared" si="23"/>
        <v>-22271</v>
      </c>
      <c r="H117" s="62">
        <f t="shared" si="23"/>
        <v>-22271</v>
      </c>
      <c r="I117" s="62">
        <f t="shared" si="23"/>
        <v>-22271</v>
      </c>
      <c r="J117" s="62">
        <f t="shared" si="23"/>
        <v>-22271</v>
      </c>
      <c r="K117" s="62">
        <f t="shared" si="23"/>
        <v>-22271</v>
      </c>
    </row>
    <row r="118" spans="3:11">
      <c r="C118" s="63" t="s">
        <v>74</v>
      </c>
      <c r="D118" s="27"/>
      <c r="E118" s="27">
        <f>E61</f>
        <v>237731</v>
      </c>
      <c r="F118" s="27">
        <f>F61</f>
        <v>328265</v>
      </c>
      <c r="G118" s="59">
        <f ca="1">SUM(G114:G117)</f>
        <v>432435.69201293983</v>
      </c>
      <c r="H118" s="59">
        <f ca="1">SUM(H114:H117)</f>
        <v>555931.48518401245</v>
      </c>
      <c r="I118" s="59">
        <f ca="1">SUM(I114:I117)</f>
        <v>698353.18320791703</v>
      </c>
      <c r="J118" s="59">
        <f ca="1">SUM(J114:J117)</f>
        <v>859198.68128575943</v>
      </c>
      <c r="K118" s="59">
        <f ca="1">SUM(K114:K117)</f>
        <v>1038013.4075913774</v>
      </c>
    </row>
    <row r="119" spans="3:11">
      <c r="E119" s="57"/>
      <c r="F119" s="57"/>
    </row>
    <row r="120" spans="3:11">
      <c r="C120" s="30" t="s">
        <v>88</v>
      </c>
      <c r="D120" s="69">
        <f>-(D116/D115)</f>
        <v>0.24701597531088318</v>
      </c>
      <c r="E120" s="69">
        <f>-(E116/E115)</f>
        <v>0.23648754811846964</v>
      </c>
      <c r="F120" s="69">
        <f>-(F116/F115)</f>
        <v>0.19772110445685576</v>
      </c>
      <c r="G120" s="74">
        <f>F120</f>
        <v>0.19772110445685576</v>
      </c>
      <c r="H120" s="74">
        <f>G120</f>
        <v>0.19772110445685576</v>
      </c>
      <c r="I120" s="74">
        <f>H120</f>
        <v>0.19772110445685576</v>
      </c>
      <c r="J120" s="74">
        <f>I120</f>
        <v>0.19772110445685576</v>
      </c>
      <c r="K120" s="74">
        <f>J120</f>
        <v>0.19772110445685576</v>
      </c>
    </row>
    <row r="121" spans="3:11">
      <c r="C121" s="30" t="s">
        <v>89</v>
      </c>
      <c r="D121" s="69">
        <f>-(D117/D115)</f>
        <v>0.1957656349278388</v>
      </c>
      <c r="E121" s="69">
        <f>-(E117/E115)</f>
        <v>0.18088616544897479</v>
      </c>
      <c r="F121" s="69">
        <f>-(F117/F115)</f>
        <v>0.16651339449266911</v>
      </c>
      <c r="G121" s="69">
        <f>F121-5%</f>
        <v>0.11651339449266911</v>
      </c>
      <c r="H121" s="69">
        <f>G121-5%</f>
        <v>6.6513394492669103E-2</v>
      </c>
      <c r="I121" s="69">
        <f>H121-5%</f>
        <v>1.6513394492669101E-2</v>
      </c>
      <c r="J121" s="69">
        <f>I121-5%</f>
        <v>-3.3486605507330902E-2</v>
      </c>
      <c r="K121" s="69">
        <f>J121-5%</f>
        <v>-8.3486605507330905E-2</v>
      </c>
    </row>
    <row r="123" spans="3:11">
      <c r="C123" s="26" t="s">
        <v>90</v>
      </c>
      <c r="D123" s="57"/>
      <c r="E123" s="50"/>
      <c r="F123" s="50"/>
    </row>
    <row r="124" spans="3:11">
      <c r="C124" s="33" t="s">
        <v>61</v>
      </c>
      <c r="D124" s="75">
        <v>44477</v>
      </c>
      <c r="E124" s="75">
        <v>64551</v>
      </c>
      <c r="F124" s="75">
        <v>115948</v>
      </c>
    </row>
    <row r="125" spans="3:11">
      <c r="C125" s="33" t="s">
        <v>91</v>
      </c>
      <c r="D125" s="75">
        <v>-15200</v>
      </c>
      <c r="E125" s="75">
        <v>-22000</v>
      </c>
      <c r="F125" s="75">
        <v>-34300</v>
      </c>
    </row>
    <row r="126" spans="3:11">
      <c r="C126" s="33" t="s">
        <v>92</v>
      </c>
      <c r="D126" s="75">
        <v>21771</v>
      </c>
      <c r="E126" s="75">
        <v>24082</v>
      </c>
      <c r="F126" s="75">
        <v>26445</v>
      </c>
    </row>
    <row r="127" spans="3:11">
      <c r="C127" s="33" t="s">
        <v>93</v>
      </c>
      <c r="D127" s="76">
        <v>17254</v>
      </c>
      <c r="E127" s="75">
        <v>18420</v>
      </c>
      <c r="F127" s="75">
        <v>22271</v>
      </c>
    </row>
    <row r="128" spans="3:11">
      <c r="C128" s="33" t="s">
        <v>94</v>
      </c>
      <c r="D128" s="77"/>
      <c r="E128" s="78">
        <v>0</v>
      </c>
      <c r="F128" s="78">
        <v>0</v>
      </c>
    </row>
    <row r="129" spans="3:11">
      <c r="C129" s="33" t="s">
        <v>95</v>
      </c>
      <c r="D129" s="78">
        <v>3.3799999999999997E-2</v>
      </c>
      <c r="E129" s="78">
        <v>3.1099999999999999E-2</v>
      </c>
      <c r="F129" s="78">
        <v>3.85E-2</v>
      </c>
    </row>
    <row r="131" spans="3:11">
      <c r="C131" s="2"/>
      <c r="D131" s="2"/>
      <c r="E131" s="2"/>
      <c r="F131" s="2"/>
      <c r="G131" s="2"/>
      <c r="H131" s="2"/>
      <c r="I131" s="2"/>
      <c r="J131" s="2"/>
      <c r="K131" s="2"/>
    </row>
  </sheetData>
  <mergeCells count="1">
    <mergeCell ref="G94:K94"/>
  </mergeCells>
  <conditionalFormatting sqref="C38">
    <cfRule type="expression" dxfId="0" priority="2">
      <formula>#REF!=$C38</formula>
    </cfRule>
  </conditionalFormatting>
  <dataValidations count="1">
    <dataValidation type="list" allowBlank="1" showInputMessage="1" showErrorMessage="1" sqref="C3" xr:uid="{00000000-0002-0000-0000-000000000000}">
      <formula1>"$ bns except per share,$ mm except per share,$ in thousands except per share"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2:K46"/>
  <sheetViews>
    <sheetView showGridLines="0" zoomScale="92" zoomScaleNormal="92" workbookViewId="0">
      <selection activeCell="D8" sqref="D8"/>
    </sheetView>
  </sheetViews>
  <sheetFormatPr defaultColWidth="8.54296875" defaultRowHeight="14.5"/>
  <cols>
    <col min="1" max="2" width="2" customWidth="1"/>
    <col min="3" max="3" width="22" customWidth="1"/>
    <col min="4" max="4" width="9.54296875" customWidth="1"/>
    <col min="5" max="5" width="9.7265625" customWidth="1"/>
    <col min="6" max="6" width="10.1796875" customWidth="1"/>
    <col min="7" max="7" width="9.7265625" customWidth="1"/>
    <col min="8" max="8" width="10.36328125" customWidth="1"/>
    <col min="11" max="12" width="2" customWidth="1"/>
  </cols>
  <sheetData>
    <row r="2" spans="3:11" ht="18.5" customHeight="1">
      <c r="C2" s="1" t="s">
        <v>96</v>
      </c>
      <c r="D2" s="2"/>
      <c r="E2" s="2"/>
      <c r="F2" s="2"/>
      <c r="G2" s="2"/>
      <c r="H2" s="2"/>
      <c r="I2" s="2"/>
      <c r="J2" s="2"/>
      <c r="K2" s="5" t="s">
        <v>0</v>
      </c>
    </row>
    <row r="3" spans="3:11">
      <c r="C3" s="6" t="str">
        <f>'3-Statement'!C3</f>
        <v>$ mm except per share</v>
      </c>
    </row>
    <row r="5" spans="3:11">
      <c r="C5" s="79" t="s">
        <v>11</v>
      </c>
      <c r="D5" s="80"/>
      <c r="E5" s="80"/>
      <c r="F5" s="18">
        <f>'3-Statement'!G42</f>
        <v>2027</v>
      </c>
      <c r="G5" s="18">
        <f>'3-Statement'!H42</f>
        <v>2028</v>
      </c>
      <c r="H5" s="18">
        <f>'3-Statement'!I42</f>
        <v>2029</v>
      </c>
      <c r="I5" s="18">
        <f>'3-Statement'!J42</f>
        <v>2030</v>
      </c>
      <c r="J5" s="18">
        <f>'3-Statement'!K42</f>
        <v>2031</v>
      </c>
    </row>
    <row r="6" spans="3:11">
      <c r="C6" s="19" t="s">
        <v>12</v>
      </c>
      <c r="D6" s="48"/>
      <c r="E6" s="48"/>
      <c r="F6" s="20">
        <f>'3-Statement'!G14</f>
        <v>46568</v>
      </c>
      <c r="G6" s="20">
        <f>'3-Statement'!H14</f>
        <v>46934</v>
      </c>
      <c r="H6" s="20">
        <f>'3-Statement'!I14</f>
        <v>47299</v>
      </c>
      <c r="I6" s="20">
        <f>'3-Statement'!J14</f>
        <v>47664</v>
      </c>
      <c r="J6" s="20">
        <f>'3-Statement'!K14</f>
        <v>48029</v>
      </c>
    </row>
    <row r="8" spans="3:11">
      <c r="C8" s="26" t="s">
        <v>97</v>
      </c>
      <c r="D8" s="81" t="s">
        <v>98</v>
      </c>
      <c r="E8" s="82"/>
      <c r="F8" s="83"/>
      <c r="G8" s="83"/>
      <c r="H8" s="83"/>
      <c r="I8" s="83"/>
      <c r="J8" s="83"/>
    </row>
    <row r="9" spans="3:11">
      <c r="C9" t="s">
        <v>99</v>
      </c>
      <c r="E9" s="84"/>
      <c r="F9" s="85">
        <f>INDEX(F17:F19, MATCH($D$8,$C$17:$C$19, 0))</f>
        <v>382256.14092300076</v>
      </c>
      <c r="G9" s="85">
        <f>INDEX(G17:G19, MATCH($D$8,$C$17:$C$19, 0))</f>
        <v>431385.33407987189</v>
      </c>
      <c r="H9" s="85">
        <f>INDEX(H17:H19, MATCH($D$8,$C$17:$C$19, 0))</f>
        <v>478324.89696038683</v>
      </c>
      <c r="I9" s="85">
        <f>INDEX(I17:I19, MATCH($D$8,$C$17:$C$19, 0))</f>
        <v>522744.15458774939</v>
      </c>
      <c r="J9" s="85">
        <f>INDEX(J17:J19, MATCH($D$8,$C$17:$C$19, 0))</f>
        <v>564722.40808270394</v>
      </c>
    </row>
    <row r="10" spans="3:11">
      <c r="C10" t="s">
        <v>100</v>
      </c>
      <c r="E10" s="84"/>
      <c r="F10" s="85">
        <f>INDEX(F22:F24, MATCH($D$8,$C$17:$C$19, 0))</f>
        <v>-39932.89330439383</v>
      </c>
      <c r="G10" s="85">
        <f>INDEX(G22:G24, MATCH($D$8,$C$17:$C$19, 0))</f>
        <v>-45065.23944205726</v>
      </c>
      <c r="H10" s="85">
        <f>INDEX(H22:H24, MATCH($D$8,$C$17:$C$19, 0))</f>
        <v>-49968.842957062821</v>
      </c>
      <c r="I10" s="85">
        <f>INDEX(I22:I24, MATCH($D$8,$C$17:$C$19, 0))</f>
        <v>-54609.159450633953</v>
      </c>
      <c r="J10" s="85">
        <f>INDEX(J22:J24, MATCH($D$8,$C$17:$C$19, 0))</f>
        <v>-58994.473219226835</v>
      </c>
    </row>
    <row r="11" spans="3:11">
      <c r="C11" t="str">
        <f>C26</f>
        <v>Research &amp; Development</v>
      </c>
      <c r="E11" s="84"/>
      <c r="F11" s="85">
        <f>INDEX(F27:F29, MATCH($D$8,$C$17:$C$19, 0))</f>
        <v>-40965.02485694494</v>
      </c>
      <c r="G11" s="85">
        <f>INDEX(G27:G29, MATCH($D$8,$C$17:$C$19, 0))</f>
        <v>-46230.024953511806</v>
      </c>
      <c r="H11" s="85">
        <f>INDEX(H27:H29, MATCH($D$8,$C$17:$C$19, 0))</f>
        <v>-51260.37019670767</v>
      </c>
      <c r="I11" s="85">
        <f>INDEX(I27:I29, MATCH($D$8,$C$17:$C$19, 0))</f>
        <v>-56020.623330740338</v>
      </c>
      <c r="J11" s="85">
        <f>INDEX(J27:J29, MATCH($D$8,$C$17:$C$19, 0))</f>
        <v>-60519.282773384431</v>
      </c>
    </row>
    <row r="12" spans="3:11">
      <c r="C12" t="s">
        <v>14</v>
      </c>
      <c r="E12" s="84"/>
      <c r="F12" s="85">
        <f>INDEX(F32:F34, MATCH($D$8,$C$17:$C$19, 0))</f>
        <v>-122535.67161950005</v>
      </c>
      <c r="G12" s="85">
        <f>INDEX(G32:G34, MATCH($D$8,$C$17:$C$19, 0))</f>
        <v>-138284.47990565389</v>
      </c>
      <c r="H12" s="85">
        <f>INDEX(H32:H34, MATCH($D$8,$C$17:$C$19, 0))</f>
        <v>-153331.3823548895</v>
      </c>
      <c r="I12" s="85">
        <f>INDEX(I32:I34, MATCH($D$8,$C$17:$C$19, 0))</f>
        <v>-167570.37810539824</v>
      </c>
      <c r="J12" s="85">
        <f>INDEX(J32:J34, MATCH($D$8,$C$17:$C$19, 0))</f>
        <v>-181026.88785040198</v>
      </c>
    </row>
    <row r="13" spans="3:11">
      <c r="C13" t="s">
        <v>101</v>
      </c>
      <c r="E13" s="84"/>
      <c r="F13" s="86">
        <f>INDEX(F37:F39, MATCH($D$8,$C$17:$C$19, 0))</f>
        <v>9.2939429251307951E-2</v>
      </c>
      <c r="G13" s="86">
        <f>INDEX(G37:G39, MATCH($D$8,$C$17:$C$19, 0))</f>
        <v>9.2939429251307951E-2</v>
      </c>
      <c r="H13" s="86">
        <f>INDEX(H37:H39, MATCH($D$8,$C$17:$C$19, 0))</f>
        <v>9.2939429251307951E-2</v>
      </c>
      <c r="I13" s="86">
        <f>INDEX(I37:I39, MATCH($D$8,$C$17:$C$19, 0))</f>
        <v>9.2939429251307951E-2</v>
      </c>
      <c r="J13" s="86">
        <f>INDEX(J37:J39, MATCH($D$8,$C$17:$C$19, 0))</f>
        <v>9.2939429251307951E-2</v>
      </c>
    </row>
    <row r="14" spans="3:11">
      <c r="C14" t="s">
        <v>102</v>
      </c>
      <c r="E14" s="84"/>
      <c r="F14" s="86">
        <f>INDEX(F42:F44, MATCH($D$8,$C$17:$C$19, 0))</f>
        <v>0.04</v>
      </c>
      <c r="G14" s="86">
        <f>INDEX(G42:G44, MATCH($D$8,$C$17:$C$19, 0))</f>
        <v>0.04</v>
      </c>
      <c r="H14" s="86">
        <f>INDEX(H42:H44, MATCH($D$8,$C$17:$C$19, 0))</f>
        <v>0.04</v>
      </c>
      <c r="I14" s="86">
        <f>INDEX(I42:I44, MATCH($D$8,$C$17:$C$19, 0))</f>
        <v>0.04</v>
      </c>
      <c r="J14" s="86">
        <f>INDEX(J42:J44, MATCH($D$8,$C$17:$C$19, 0))</f>
        <v>0.04</v>
      </c>
    </row>
    <row r="15" spans="3:11">
      <c r="E15" s="84"/>
    </row>
    <row r="16" spans="3:11">
      <c r="C16" s="26" t="s">
        <v>99</v>
      </c>
      <c r="E16" s="84"/>
    </row>
    <row r="17" spans="3:10">
      <c r="C17" s="32" t="s">
        <v>103</v>
      </c>
      <c r="E17" s="87">
        <v>0.1</v>
      </c>
      <c r="F17" s="88">
        <f>$E$17*F18+F18</f>
        <v>420481.75501530082</v>
      </c>
      <c r="G17" s="88">
        <f>$E$17*G18+G18</f>
        <v>474523.8674878591</v>
      </c>
      <c r="H17" s="88">
        <f>$E$17*H18+H18</f>
        <v>526157.38665642554</v>
      </c>
      <c r="I17" s="88">
        <f>$E$17*I18+I18</f>
        <v>575018.57004652428</v>
      </c>
      <c r="J17" s="88">
        <f>$E$17*J18+J18</f>
        <v>621194.64889097435</v>
      </c>
    </row>
    <row r="18" spans="3:10">
      <c r="C18" s="32" t="s">
        <v>98</v>
      </c>
      <c r="E18" s="89" t="s">
        <v>104</v>
      </c>
      <c r="F18" s="90">
        <f>'Revenue Build'!G26</f>
        <v>382256.14092300076</v>
      </c>
      <c r="G18" s="90">
        <f>'Revenue Build'!H26</f>
        <v>431385.33407987189</v>
      </c>
      <c r="H18" s="90">
        <f>'Revenue Build'!I26</f>
        <v>478324.89696038683</v>
      </c>
      <c r="I18" s="90">
        <f>'Revenue Build'!J26</f>
        <v>522744.15458774939</v>
      </c>
      <c r="J18" s="90">
        <f>'Revenue Build'!K26</f>
        <v>564722.40808270394</v>
      </c>
    </row>
    <row r="19" spans="3:10">
      <c r="C19" s="32" t="s">
        <v>105</v>
      </c>
      <c r="E19" s="87">
        <v>-0.1</v>
      </c>
      <c r="F19" s="88">
        <f>$E$19*F18+F18</f>
        <v>344030.52683070069</v>
      </c>
      <c r="G19" s="88">
        <f>$E$19*G18+G18</f>
        <v>388246.80067188467</v>
      </c>
      <c r="H19" s="88">
        <f>$E$19*H18+H18</f>
        <v>430492.40726434812</v>
      </c>
      <c r="I19" s="88">
        <f>$E$19*I18+I18</f>
        <v>470469.73912897444</v>
      </c>
      <c r="J19" s="88">
        <f>$E$19*J18+J18</f>
        <v>508250.16727443354</v>
      </c>
    </row>
    <row r="20" spans="3:10">
      <c r="E20" s="84"/>
    </row>
    <row r="21" spans="3:10">
      <c r="C21" s="91" t="s">
        <v>100</v>
      </c>
      <c r="E21" s="84"/>
    </row>
    <row r="22" spans="3:10">
      <c r="C22" s="32" t="s">
        <v>103</v>
      </c>
      <c r="E22" s="87">
        <v>-0.1</v>
      </c>
      <c r="F22" s="88">
        <f>$E$22*F23+F23</f>
        <v>-35939.60397395445</v>
      </c>
      <c r="G22" s="88">
        <f>$E$22*G23+G23</f>
        <v>-40558.715497851532</v>
      </c>
      <c r="H22" s="88">
        <f>$E$22*H23+H23</f>
        <v>-44971.958661356541</v>
      </c>
      <c r="I22" s="88">
        <f>$E$22*I23+I23</f>
        <v>-49148.243505570557</v>
      </c>
      <c r="J22" s="88">
        <f>$E$22*J23+J23</f>
        <v>-53095.025897304149</v>
      </c>
    </row>
    <row r="23" spans="3:10">
      <c r="C23" s="32" t="s">
        <v>98</v>
      </c>
      <c r="E23" s="89" t="s">
        <v>104</v>
      </c>
      <c r="F23" s="92">
        <f>-F18*'3-Statement'!G38</f>
        <v>-39932.89330439383</v>
      </c>
      <c r="G23" s="92">
        <f>-G18*'3-Statement'!H38</f>
        <v>-45065.23944205726</v>
      </c>
      <c r="H23" s="92">
        <f>-H18*'3-Statement'!I38</f>
        <v>-49968.842957062821</v>
      </c>
      <c r="I23" s="92">
        <f>-I18*'3-Statement'!J38</f>
        <v>-54609.159450633953</v>
      </c>
      <c r="J23" s="92">
        <f>-J18*'3-Statement'!K38</f>
        <v>-58994.473219226835</v>
      </c>
    </row>
    <row r="24" spans="3:10">
      <c r="C24" s="32" t="s">
        <v>105</v>
      </c>
      <c r="E24" s="87">
        <v>0.1</v>
      </c>
      <c r="F24" s="88">
        <f>$E$24*F23+F23</f>
        <v>-43926.182634833211</v>
      </c>
      <c r="G24" s="88">
        <f>$E$24*G23+G23</f>
        <v>-49571.763386262988</v>
      </c>
      <c r="H24" s="88">
        <f>$E$24*H23+H23</f>
        <v>-54965.727252769102</v>
      </c>
      <c r="I24" s="88">
        <f>$E$24*I23+I23</f>
        <v>-60070.075395697349</v>
      </c>
      <c r="J24" s="88">
        <f>$E$24*J23+J23</f>
        <v>-64893.92054114952</v>
      </c>
    </row>
    <row r="25" spans="3:10">
      <c r="C25" s="26"/>
      <c r="E25" s="84"/>
    </row>
    <row r="26" spans="3:10">
      <c r="C26" s="91" t="s">
        <v>106</v>
      </c>
      <c r="E26" s="84"/>
    </row>
    <row r="27" spans="3:10">
      <c r="C27" s="32" t="s">
        <v>103</v>
      </c>
      <c r="E27" s="87">
        <v>-0.1</v>
      </c>
      <c r="F27" s="88">
        <f>F28*$E$27+F28</f>
        <v>-36868.522371250445</v>
      </c>
      <c r="G27" s="88">
        <f>G28*$E$27+G28</f>
        <v>-41607.022458160624</v>
      </c>
      <c r="H27" s="88">
        <f>H28*$E$27+H28</f>
        <v>-46134.333177036904</v>
      </c>
      <c r="I27" s="88">
        <f>I28*$E$27+I28</f>
        <v>-50418.560997666304</v>
      </c>
      <c r="J27" s="88">
        <f>J28*$E$27+J28</f>
        <v>-54467.354496045984</v>
      </c>
    </row>
    <row r="28" spans="3:10">
      <c r="C28" s="32" t="s">
        <v>98</v>
      </c>
      <c r="E28" s="89" t="s">
        <v>104</v>
      </c>
      <c r="F28" s="92">
        <f>-F18*'3-Statement'!G37</f>
        <v>-40965.02485694494</v>
      </c>
      <c r="G28" s="92">
        <f>-G18*'3-Statement'!H37</f>
        <v>-46230.024953511806</v>
      </c>
      <c r="H28" s="92">
        <f>-H18*'3-Statement'!I37</f>
        <v>-51260.37019670767</v>
      </c>
      <c r="I28" s="92">
        <f>-I18*'3-Statement'!J37</f>
        <v>-56020.623330740338</v>
      </c>
      <c r="J28" s="92">
        <f>-J18*'3-Statement'!K37</f>
        <v>-60519.282773384431</v>
      </c>
    </row>
    <row r="29" spans="3:10">
      <c r="C29" s="32" t="s">
        <v>105</v>
      </c>
      <c r="E29" s="87">
        <v>0.1</v>
      </c>
      <c r="F29" s="88">
        <f>F28*$E$29+F28</f>
        <v>-45061.527342639434</v>
      </c>
      <c r="G29" s="88">
        <f>G28*$E$29+G28</f>
        <v>-50853.027448862988</v>
      </c>
      <c r="H29" s="88">
        <f>H28*$E$29+H28</f>
        <v>-56386.407216378437</v>
      </c>
      <c r="I29" s="88">
        <f>I28*$E$29+I28</f>
        <v>-61622.685663814373</v>
      </c>
      <c r="J29" s="88">
        <f>J28*$E$29+J28</f>
        <v>-66571.211050722879</v>
      </c>
    </row>
    <row r="30" spans="3:10">
      <c r="C30" s="26"/>
      <c r="E30" s="84"/>
    </row>
    <row r="31" spans="3:10">
      <c r="C31" s="91" t="s">
        <v>14</v>
      </c>
      <c r="E31" s="84"/>
    </row>
    <row r="32" spans="3:10">
      <c r="C32" s="32" t="s">
        <v>103</v>
      </c>
      <c r="E32" s="87">
        <v>-0.1</v>
      </c>
      <c r="F32" s="88">
        <f>$E$32*F33+F33</f>
        <v>-110282.10445755004</v>
      </c>
      <c r="G32" s="88">
        <f>$E$32*G33+G33</f>
        <v>-124456.0319150885</v>
      </c>
      <c r="H32" s="88">
        <f>$E$32*H33+H33</f>
        <v>-137998.24411940057</v>
      </c>
      <c r="I32" s="88">
        <f>$E$32*I33+I33</f>
        <v>-150813.34029485841</v>
      </c>
      <c r="J32" s="88">
        <f>$E$32*J33+J33</f>
        <v>-162924.19906536178</v>
      </c>
    </row>
    <row r="33" spans="3:10">
      <c r="C33" s="32" t="s">
        <v>98</v>
      </c>
      <c r="E33" s="89" t="s">
        <v>104</v>
      </c>
      <c r="F33" s="92">
        <f>-F18*(1-'3-Statement'!G36)</f>
        <v>-122535.67161950005</v>
      </c>
      <c r="G33" s="92">
        <f>-G18*(1-'3-Statement'!H36)</f>
        <v>-138284.47990565389</v>
      </c>
      <c r="H33" s="92">
        <f>-H18*(1-'3-Statement'!I36)</f>
        <v>-153331.3823548895</v>
      </c>
      <c r="I33" s="92">
        <f>-I18*(1-'3-Statement'!J36)</f>
        <v>-167570.37810539824</v>
      </c>
      <c r="J33" s="92">
        <f>-J18*(1-'3-Statement'!K36)</f>
        <v>-181026.88785040198</v>
      </c>
    </row>
    <row r="34" spans="3:10">
      <c r="C34" s="32" t="s">
        <v>105</v>
      </c>
      <c r="E34" s="87">
        <v>0.1</v>
      </c>
      <c r="F34" s="88">
        <f>F33*$E$34+F33</f>
        <v>-134789.23878145005</v>
      </c>
      <c r="G34" s="88">
        <f>G33*$E$34+G33</f>
        <v>-152112.92789621928</v>
      </c>
      <c r="H34" s="88">
        <f>H33*$E$34+H33</f>
        <v>-168664.52059037844</v>
      </c>
      <c r="I34" s="88">
        <f>I33*$E$34+I33</f>
        <v>-184327.41591593807</v>
      </c>
      <c r="J34" s="88">
        <f>J33*$E$34+J33</f>
        <v>-199129.57663544218</v>
      </c>
    </row>
    <row r="35" spans="3:10">
      <c r="E35" s="84"/>
    </row>
    <row r="36" spans="3:10">
      <c r="C36" s="91" t="s">
        <v>101</v>
      </c>
      <c r="E36" s="84"/>
    </row>
    <row r="37" spans="3:10">
      <c r="C37" s="32" t="s">
        <v>103</v>
      </c>
      <c r="E37" s="87">
        <v>-0.02</v>
      </c>
      <c r="F37" s="74">
        <f>F38+$E$37</f>
        <v>7.2939429251307947E-2</v>
      </c>
      <c r="G37" s="74">
        <f>G38+$E$37</f>
        <v>7.2939429251307947E-2</v>
      </c>
      <c r="H37" s="74">
        <f>H38+$E$37</f>
        <v>7.2939429251307947E-2</v>
      </c>
      <c r="I37" s="74">
        <f>I38+$E$37</f>
        <v>7.2939429251307947E-2</v>
      </c>
      <c r="J37" s="74">
        <f>J38+$E$37</f>
        <v>7.2939429251307947E-2</v>
      </c>
    </row>
    <row r="38" spans="3:10">
      <c r="C38" s="32" t="s">
        <v>98</v>
      </c>
      <c r="E38" s="89" t="s">
        <v>104</v>
      </c>
      <c r="F38" s="93">
        <f>WACC!$E$22</f>
        <v>9.2939429251307951E-2</v>
      </c>
      <c r="G38" s="93">
        <f>WACC!$E$22</f>
        <v>9.2939429251307951E-2</v>
      </c>
      <c r="H38" s="93">
        <f>WACC!$E$22</f>
        <v>9.2939429251307951E-2</v>
      </c>
      <c r="I38" s="93">
        <f>WACC!$E$22</f>
        <v>9.2939429251307951E-2</v>
      </c>
      <c r="J38" s="93">
        <f>WACC!$E$22</f>
        <v>9.2939429251307951E-2</v>
      </c>
    </row>
    <row r="39" spans="3:10">
      <c r="C39" s="32" t="s">
        <v>105</v>
      </c>
      <c r="E39" s="87">
        <v>0.02</v>
      </c>
      <c r="F39" s="74">
        <f>F38+$E$39</f>
        <v>0.11293942925130795</v>
      </c>
      <c r="G39" s="74">
        <f>G38+$E$39</f>
        <v>0.11293942925130795</v>
      </c>
      <c r="H39" s="74">
        <f>H38+$E$39</f>
        <v>0.11293942925130795</v>
      </c>
      <c r="I39" s="74">
        <f>I38+$E$39</f>
        <v>0.11293942925130795</v>
      </c>
      <c r="J39" s="74">
        <f>J38+$E$39</f>
        <v>0.11293942925130795</v>
      </c>
    </row>
    <row r="40" spans="3:10">
      <c r="E40" s="84"/>
    </row>
    <row r="41" spans="3:10">
      <c r="C41" s="26" t="s">
        <v>102</v>
      </c>
      <c r="E41" s="84"/>
    </row>
    <row r="42" spans="3:10">
      <c r="C42" s="32" t="s">
        <v>103</v>
      </c>
      <c r="E42" s="94">
        <v>5.0000000000000001E-3</v>
      </c>
      <c r="F42" s="74">
        <f>F43+$E$42</f>
        <v>4.4999999999999998E-2</v>
      </c>
      <c r="G42" s="74">
        <f>G43+$E$42</f>
        <v>4.4999999999999998E-2</v>
      </c>
      <c r="H42" s="74">
        <f>H43+$E$42</f>
        <v>4.4999999999999998E-2</v>
      </c>
      <c r="I42" s="74">
        <f>I43+$E$42</f>
        <v>4.4999999999999998E-2</v>
      </c>
      <c r="J42" s="74">
        <f>J43+$E$42</f>
        <v>4.4999999999999998E-2</v>
      </c>
    </row>
    <row r="43" spans="3:10">
      <c r="C43" s="32" t="s">
        <v>98</v>
      </c>
      <c r="E43" s="89" t="s">
        <v>104</v>
      </c>
      <c r="F43" s="93">
        <v>0.04</v>
      </c>
      <c r="G43" s="93">
        <v>0.04</v>
      </c>
      <c r="H43" s="93">
        <v>0.04</v>
      </c>
      <c r="I43" s="93">
        <v>0.04</v>
      </c>
      <c r="J43" s="93">
        <v>0.04</v>
      </c>
    </row>
    <row r="44" spans="3:10">
      <c r="C44" s="32" t="s">
        <v>105</v>
      </c>
      <c r="E44" s="94">
        <v>-5.0000000000000001E-3</v>
      </c>
      <c r="F44" s="74">
        <f>F43+$E$44</f>
        <v>3.5000000000000003E-2</v>
      </c>
      <c r="G44" s="74">
        <f>G43+$E$44</f>
        <v>3.5000000000000003E-2</v>
      </c>
      <c r="H44" s="74">
        <f>H43+$E$44</f>
        <v>3.5000000000000003E-2</v>
      </c>
      <c r="I44" s="74">
        <f>I43+$E$44</f>
        <v>3.5000000000000003E-2</v>
      </c>
      <c r="J44" s="74">
        <f>J43+$E$44</f>
        <v>3.5000000000000003E-2</v>
      </c>
    </row>
    <row r="46" spans="3:10">
      <c r="C46" s="2"/>
      <c r="D46" s="2"/>
      <c r="E46" s="2"/>
      <c r="F46" s="2"/>
      <c r="G46" s="2"/>
      <c r="H46" s="2"/>
      <c r="I46" s="2"/>
      <c r="J46" s="2"/>
    </row>
  </sheetData>
  <dataValidations count="1">
    <dataValidation type="list" allowBlank="1" showInputMessage="1" showErrorMessage="1" promptTitle="Base case, " sqref="D8" xr:uid="{00000000-0002-0000-0100-000000000000}">
      <formula1>"Base case,Weak case,Best case"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2:S51"/>
  <sheetViews>
    <sheetView showGridLines="0" zoomScale="77" zoomScaleNormal="92" workbookViewId="0">
      <selection activeCell="D55" sqref="D55"/>
    </sheetView>
  </sheetViews>
  <sheetFormatPr defaultColWidth="8.54296875" defaultRowHeight="14.5"/>
  <cols>
    <col min="1" max="2" width="1.90625" customWidth="1"/>
    <col min="3" max="3" width="34.90625" bestFit="1" customWidth="1"/>
    <col min="12" max="13" width="1.90625" customWidth="1"/>
    <col min="16" max="16" width="30.6328125" customWidth="1"/>
  </cols>
  <sheetData>
    <row r="2" spans="3:11" ht="18.5" customHeight="1">
      <c r="C2" s="1" t="s">
        <v>107</v>
      </c>
      <c r="D2" s="2"/>
      <c r="E2" s="2"/>
      <c r="F2" s="2"/>
      <c r="G2" s="2"/>
      <c r="H2" s="2"/>
      <c r="I2" s="2"/>
      <c r="J2" s="2"/>
      <c r="K2" s="5" t="s">
        <v>0</v>
      </c>
    </row>
    <row r="3" spans="3:11">
      <c r="C3" s="6" t="str">
        <f>'3-Statement'!C3</f>
        <v>$ mm except per share</v>
      </c>
    </row>
    <row r="4" spans="3:11">
      <c r="C4" s="6"/>
    </row>
    <row r="5" spans="3:11">
      <c r="C5" s="95" t="s">
        <v>108</v>
      </c>
      <c r="D5" s="95"/>
      <c r="E5" s="95"/>
      <c r="F5" s="95"/>
      <c r="G5" s="95"/>
      <c r="H5" s="95"/>
      <c r="I5" s="95"/>
      <c r="J5" s="95"/>
      <c r="K5" s="95"/>
    </row>
    <row r="6" spans="3:11">
      <c r="C6" s="79" t="s">
        <v>11</v>
      </c>
      <c r="D6" s="96">
        <f>'3-Statement'!D13</f>
        <v>2024</v>
      </c>
      <c r="E6" s="96">
        <f>'3-Statement'!E13</f>
        <v>2025</v>
      </c>
      <c r="F6" s="96">
        <f>'3-Statement'!F13</f>
        <v>2026</v>
      </c>
      <c r="G6" s="18">
        <f>'3-Statement'!G13</f>
        <v>2027</v>
      </c>
      <c r="H6" s="18">
        <f>'3-Statement'!H13</f>
        <v>2028</v>
      </c>
      <c r="I6" s="18">
        <f>'3-Statement'!I13</f>
        <v>2029</v>
      </c>
      <c r="J6" s="18">
        <f>'3-Statement'!J13</f>
        <v>2030</v>
      </c>
      <c r="K6" s="18">
        <f>'3-Statement'!K13</f>
        <v>2031</v>
      </c>
    </row>
    <row r="7" spans="3:11">
      <c r="C7" s="19" t="s">
        <v>12</v>
      </c>
      <c r="D7" s="20">
        <f>'3-Statement'!D14</f>
        <v>45473</v>
      </c>
      <c r="E7" s="20">
        <f>'3-Statement'!E14</f>
        <v>45838</v>
      </c>
      <c r="F7" s="20">
        <f>'3-Statement'!F14</f>
        <v>46203</v>
      </c>
      <c r="G7" s="20">
        <f>'3-Statement'!G14</f>
        <v>46568</v>
      </c>
      <c r="H7" s="20">
        <f>'3-Statement'!H14</f>
        <v>46934</v>
      </c>
      <c r="I7" s="20">
        <f>'3-Statement'!I14</f>
        <v>47299</v>
      </c>
      <c r="J7" s="20">
        <f>'3-Statement'!J14</f>
        <v>47664</v>
      </c>
      <c r="K7" s="20">
        <f>'3-Statement'!K14</f>
        <v>48029</v>
      </c>
    </row>
    <row r="9" spans="3:11">
      <c r="C9" s="26" t="s">
        <v>109</v>
      </c>
      <c r="D9" s="24"/>
      <c r="E9" s="24"/>
      <c r="F9" s="24"/>
      <c r="G9" s="24"/>
      <c r="H9" s="24"/>
      <c r="I9" s="24"/>
      <c r="J9" s="24"/>
      <c r="K9" s="24"/>
    </row>
    <row r="10" spans="3:11">
      <c r="C10" t="s">
        <v>110</v>
      </c>
      <c r="D10" s="24">
        <v>76969</v>
      </c>
      <c r="E10" s="24">
        <v>87767</v>
      </c>
      <c r="F10" s="24">
        <v>101997</v>
      </c>
      <c r="G10" s="29">
        <f t="shared" ref="G10:K13" si="0">F10*(1+G30)</f>
        <v>115419.84331798968</v>
      </c>
      <c r="H10" s="29">
        <f t="shared" si="0"/>
        <v>127966.01263740368</v>
      </c>
      <c r="I10" s="29">
        <f t="shared" si="0"/>
        <v>139678.128844505</v>
      </c>
      <c r="J10" s="29">
        <f t="shared" si="0"/>
        <v>150662.96271172017</v>
      </c>
      <c r="K10" s="29">
        <f t="shared" si="0"/>
        <v>161056.13543449854</v>
      </c>
    </row>
    <row r="11" spans="3:11">
      <c r="C11" t="s">
        <v>111</v>
      </c>
      <c r="D11" s="24">
        <v>6648</v>
      </c>
      <c r="E11" s="24">
        <v>7404</v>
      </c>
      <c r="F11" s="24">
        <v>9175</v>
      </c>
      <c r="G11" s="29">
        <f t="shared" si="0"/>
        <v>10912.710798217178</v>
      </c>
      <c r="H11" s="29">
        <f t="shared" si="0"/>
        <v>12571.957965481357</v>
      </c>
      <c r="I11" s="29">
        <f t="shared" si="0"/>
        <v>14131.325840246116</v>
      </c>
      <c r="J11" s="29">
        <f t="shared" si="0"/>
        <v>15587.227621988577</v>
      </c>
      <c r="K11" s="29">
        <f t="shared" si="0"/>
        <v>16947.523640387379</v>
      </c>
    </row>
    <row r="12" spans="3:11">
      <c r="C12" t="s">
        <v>112</v>
      </c>
      <c r="D12" s="24">
        <v>16372</v>
      </c>
      <c r="E12" s="24">
        <v>17812</v>
      </c>
      <c r="F12" s="24">
        <v>19817</v>
      </c>
      <c r="G12" s="29">
        <f t="shared" si="0"/>
        <v>21688.188961935775</v>
      </c>
      <c r="H12" s="29">
        <f t="shared" si="0"/>
        <v>23440.975622330912</v>
      </c>
      <c r="I12" s="29">
        <f t="shared" si="0"/>
        <v>25096.21733862174</v>
      </c>
      <c r="J12" s="29">
        <f t="shared" si="0"/>
        <v>26676.272204093311</v>
      </c>
      <c r="K12" s="29">
        <f t="shared" si="0"/>
        <v>28202.68612535666</v>
      </c>
    </row>
    <row r="13" spans="3:11">
      <c r="C13" t="s">
        <v>113</v>
      </c>
      <c r="D13" s="24">
        <v>6831</v>
      </c>
      <c r="E13" s="24">
        <v>7827</v>
      </c>
      <c r="F13" s="24">
        <v>9006</v>
      </c>
      <c r="G13" s="29">
        <f t="shared" si="0"/>
        <v>10113.50672288233</v>
      </c>
      <c r="H13" s="29">
        <f t="shared" si="0"/>
        <v>11147.417996599146</v>
      </c>
      <c r="I13" s="29">
        <f t="shared" si="0"/>
        <v>12113.598767611398</v>
      </c>
      <c r="J13" s="29">
        <f t="shared" si="0"/>
        <v>13022.176712738632</v>
      </c>
      <c r="K13" s="29">
        <f t="shared" si="0"/>
        <v>13884.942712945947</v>
      </c>
    </row>
    <row r="14" spans="3:11">
      <c r="D14" s="24"/>
      <c r="E14" s="24"/>
      <c r="F14" s="24"/>
      <c r="G14" s="24"/>
      <c r="H14" s="24"/>
      <c r="I14" s="24"/>
      <c r="J14" s="24"/>
      <c r="K14" s="24"/>
    </row>
    <row r="15" spans="3:11">
      <c r="C15" s="26" t="s">
        <v>114</v>
      </c>
      <c r="D15" s="24"/>
      <c r="E15" s="24"/>
      <c r="F15" s="24"/>
      <c r="G15" s="24"/>
      <c r="H15" s="24"/>
      <c r="I15" s="24"/>
      <c r="J15" s="24"/>
      <c r="K15" s="24"/>
    </row>
    <row r="16" spans="3:11">
      <c r="C16" t="s">
        <v>115</v>
      </c>
      <c r="D16" s="24">
        <v>79828</v>
      </c>
      <c r="E16" s="24">
        <v>98435</v>
      </c>
      <c r="F16" s="24">
        <v>129425</v>
      </c>
      <c r="G16" s="29">
        <f t="shared" ref="G16:K17" si="1">F16*(1+G36)</f>
        <v>161279.1175521918</v>
      </c>
      <c r="H16" s="29">
        <f t="shared" si="1"/>
        <v>192662.45519799349</v>
      </c>
      <c r="I16" s="29">
        <f t="shared" si="1"/>
        <v>222706.75072429108</v>
      </c>
      <c r="J16" s="29">
        <f t="shared" si="1"/>
        <v>250980.93037224354</v>
      </c>
      <c r="K16" s="29">
        <f t="shared" si="1"/>
        <v>277388.57805696392</v>
      </c>
    </row>
    <row r="17" spans="3:19">
      <c r="C17" t="s">
        <v>116</v>
      </c>
      <c r="D17" s="24">
        <v>7594</v>
      </c>
      <c r="E17" s="24">
        <v>7760</v>
      </c>
      <c r="F17" s="24">
        <v>8260</v>
      </c>
      <c r="G17" s="29">
        <f t="shared" si="1"/>
        <v>8741.7623711340202</v>
      </c>
      <c r="H17" s="29">
        <f t="shared" si="1"/>
        <v>9211.5757727939999</v>
      </c>
      <c r="I17" s="29">
        <f t="shared" si="1"/>
        <v>9674.9886641601879</v>
      </c>
      <c r="J17" s="29">
        <f t="shared" si="1"/>
        <v>10136.783135575935</v>
      </c>
      <c r="K17" s="29">
        <f t="shared" si="1"/>
        <v>10601.028168066563</v>
      </c>
    </row>
    <row r="18" spans="3:19">
      <c r="D18" s="24"/>
      <c r="E18" s="24"/>
      <c r="F18" s="24"/>
      <c r="G18" s="24"/>
      <c r="H18" s="24"/>
      <c r="I18" s="24"/>
      <c r="J18" s="24"/>
      <c r="K18" s="24"/>
    </row>
    <row r="19" spans="3:19">
      <c r="C19" s="26" t="s">
        <v>117</v>
      </c>
      <c r="D19" s="24"/>
      <c r="E19" s="24"/>
      <c r="F19" s="24"/>
      <c r="G19" s="24"/>
      <c r="H19" s="24"/>
      <c r="I19" s="24"/>
      <c r="J19" s="24"/>
      <c r="K19" s="24"/>
    </row>
    <row r="20" spans="3:19">
      <c r="C20" t="s">
        <v>118</v>
      </c>
      <c r="D20" s="24">
        <v>21503</v>
      </c>
      <c r="E20" s="24">
        <v>23455</v>
      </c>
      <c r="F20" s="24">
        <v>21790</v>
      </c>
      <c r="G20" s="29">
        <f t="shared" ref="G20:K22" si="2">F20*(1+G40)</f>
        <v>20629.895011724577</v>
      </c>
      <c r="H20" s="29">
        <f t="shared" si="2"/>
        <v>19806.139477854686</v>
      </c>
      <c r="I20" s="29">
        <f t="shared" si="2"/>
        <v>19212.992360884055</v>
      </c>
      <c r="J20" s="29">
        <f t="shared" si="2"/>
        <v>18781.454539998544</v>
      </c>
      <c r="K20" s="29">
        <f t="shared" si="2"/>
        <v>18465.070664974781</v>
      </c>
    </row>
    <row r="21" spans="3:19">
      <c r="C21" t="s">
        <v>119</v>
      </c>
      <c r="D21" s="24">
        <v>17026</v>
      </c>
      <c r="E21" s="24">
        <v>17314</v>
      </c>
      <c r="F21" s="24">
        <v>17084</v>
      </c>
      <c r="G21" s="29">
        <f t="shared" si="2"/>
        <v>16913.791498209543</v>
      </c>
      <c r="H21" s="29">
        <f t="shared" si="2"/>
        <v>16787.406966900726</v>
      </c>
      <c r="I21" s="29">
        <f t="shared" si="2"/>
        <v>16693.326853567178</v>
      </c>
      <c r="J21" s="29">
        <f t="shared" si="2"/>
        <v>16623.162201930056</v>
      </c>
      <c r="K21" s="29">
        <f t="shared" si="2"/>
        <v>16570.759897917935</v>
      </c>
    </row>
    <row r="22" spans="3:19">
      <c r="C22" t="s">
        <v>120</v>
      </c>
      <c r="D22" s="24">
        <v>12306</v>
      </c>
      <c r="E22" s="24">
        <v>13878</v>
      </c>
      <c r="F22" s="24">
        <v>15176</v>
      </c>
      <c r="G22" s="29">
        <f t="shared" si="2"/>
        <v>16392.310799827064</v>
      </c>
      <c r="H22" s="29">
        <f t="shared" si="2"/>
        <v>17541.579749612607</v>
      </c>
      <c r="I22" s="29">
        <f t="shared" si="2"/>
        <v>18639.378906413509</v>
      </c>
      <c r="J22" s="29">
        <f t="shared" si="2"/>
        <v>19700.649477051658</v>
      </c>
      <c r="K22" s="29">
        <f t="shared" si="2"/>
        <v>20738.92808250093</v>
      </c>
    </row>
    <row r="23" spans="3:19">
      <c r="D23" s="24"/>
      <c r="E23" s="24"/>
      <c r="F23" s="24"/>
      <c r="G23" s="24"/>
      <c r="H23" s="24"/>
      <c r="I23" s="24"/>
      <c r="J23" s="24"/>
      <c r="K23" s="24"/>
    </row>
    <row r="24" spans="3:19">
      <c r="C24" s="26" t="s">
        <v>121</v>
      </c>
      <c r="D24" s="24">
        <v>45</v>
      </c>
      <c r="E24" s="24">
        <v>72</v>
      </c>
      <c r="F24" s="24">
        <v>109</v>
      </c>
      <c r="G24" s="29">
        <f>F24*(1+G44)</f>
        <v>165.01388888888889</v>
      </c>
      <c r="H24" s="29">
        <f>G24*(1+H44)</f>
        <v>249.81269290123456</v>
      </c>
      <c r="I24" s="29">
        <f>H24*(1+I44)</f>
        <v>378.1886600865912</v>
      </c>
      <c r="J24" s="29">
        <f>I24*(1+J44)</f>
        <v>572.53561040886723</v>
      </c>
      <c r="K24" s="29">
        <f>J24*(1+K44)</f>
        <v>866.75529909120178</v>
      </c>
    </row>
    <row r="25" spans="3:19">
      <c r="D25" s="24"/>
      <c r="E25" s="24"/>
      <c r="F25" s="24"/>
      <c r="G25" s="24"/>
      <c r="H25" s="24"/>
      <c r="I25" s="24"/>
      <c r="J25" s="24"/>
      <c r="K25" s="24"/>
    </row>
    <row r="26" spans="3:19">
      <c r="C26" s="26" t="s">
        <v>122</v>
      </c>
      <c r="D26" s="36">
        <f t="shared" ref="D26:K26" si="3">SUM(D10:D24)</f>
        <v>245122</v>
      </c>
      <c r="E26" s="36">
        <f t="shared" si="3"/>
        <v>281724</v>
      </c>
      <c r="F26" s="36">
        <f t="shared" si="3"/>
        <v>331839</v>
      </c>
      <c r="G26" s="28">
        <f t="shared" si="3"/>
        <v>382256.14092300076</v>
      </c>
      <c r="H26" s="28">
        <f t="shared" si="3"/>
        <v>431385.33407987189</v>
      </c>
      <c r="I26" s="28">
        <f t="shared" si="3"/>
        <v>478324.89696038683</v>
      </c>
      <c r="J26" s="28">
        <f t="shared" si="3"/>
        <v>522744.15458774939</v>
      </c>
      <c r="K26" s="28">
        <f t="shared" si="3"/>
        <v>564722.40808270394</v>
      </c>
    </row>
    <row r="27" spans="3:19">
      <c r="C27" t="s">
        <v>123</v>
      </c>
      <c r="E27" s="97">
        <f t="shared" ref="E27:K27" si="4">E26/D26-1</f>
        <v>0.14932156232406713</v>
      </c>
      <c r="F27" s="97">
        <f t="shared" si="4"/>
        <v>0.17788686799846665</v>
      </c>
      <c r="G27" s="98">
        <f t="shared" si="4"/>
        <v>0.15193253632936687</v>
      </c>
      <c r="H27" s="98">
        <f t="shared" si="4"/>
        <v>0.12852427442563275</v>
      </c>
      <c r="I27" s="98">
        <f t="shared" si="4"/>
        <v>0.10881121626592893</v>
      </c>
      <c r="J27" s="98">
        <f t="shared" si="4"/>
        <v>9.2864197347104049E-2</v>
      </c>
      <c r="K27" s="98">
        <f t="shared" si="4"/>
        <v>8.0303630612684307E-2</v>
      </c>
    </row>
    <row r="29" spans="3:19">
      <c r="C29" s="26" t="s">
        <v>109</v>
      </c>
    </row>
    <row r="30" spans="3:19">
      <c r="C30" t="s">
        <v>110</v>
      </c>
      <c r="E30" s="97">
        <f t="shared" ref="E30:F33" si="5">E10/D10-1</f>
        <v>0.14029024672270651</v>
      </c>
      <c r="F30" s="97">
        <f t="shared" si="5"/>
        <v>0.16213383162236372</v>
      </c>
      <c r="G30" s="98">
        <f t="shared" ref="G30:K33" si="6">F30+($D$48-F30)*$D$47</f>
        <v>0.1316003737167728</v>
      </c>
      <c r="H30" s="98">
        <f t="shared" si="6"/>
        <v>0.10870028028757961</v>
      </c>
      <c r="I30" s="98">
        <f t="shared" si="6"/>
        <v>9.1525210215684716E-2</v>
      </c>
      <c r="J30" s="98">
        <f t="shared" si="6"/>
        <v>7.8643907661763532E-2</v>
      </c>
      <c r="K30" s="98">
        <f t="shared" si="6"/>
        <v>6.8982930746322654E-2</v>
      </c>
      <c r="N30" s="168" t="s">
        <v>124</v>
      </c>
      <c r="O30" s="175"/>
      <c r="P30" s="175"/>
      <c r="Q30" s="175"/>
      <c r="R30" s="175"/>
      <c r="S30" s="175"/>
    </row>
    <row r="31" spans="3:19">
      <c r="C31" t="s">
        <v>111</v>
      </c>
      <c r="E31" s="97">
        <f t="shared" si="5"/>
        <v>0.11371841155234663</v>
      </c>
      <c r="F31" s="97">
        <f t="shared" si="5"/>
        <v>0.23919502971366824</v>
      </c>
      <c r="G31" s="98">
        <f t="shared" si="6"/>
        <v>0.18939627228525119</v>
      </c>
      <c r="H31" s="98">
        <f t="shared" si="6"/>
        <v>0.15204720421393839</v>
      </c>
      <c r="I31" s="98">
        <f t="shared" si="6"/>
        <v>0.12403540316045379</v>
      </c>
      <c r="J31" s="98">
        <f t="shared" si="6"/>
        <v>0.10302655237034034</v>
      </c>
      <c r="K31" s="98">
        <f t="shared" si="6"/>
        <v>8.7269914277755253E-2</v>
      </c>
      <c r="N31" s="168" t="s">
        <v>124</v>
      </c>
      <c r="O31" s="175"/>
      <c r="P31" s="175"/>
      <c r="Q31" s="175"/>
      <c r="R31" s="175"/>
      <c r="S31" s="175"/>
    </row>
    <row r="32" spans="3:19">
      <c r="C32" t="s">
        <v>112</v>
      </c>
      <c r="E32" s="97">
        <f t="shared" si="5"/>
        <v>8.7955045199120452E-2</v>
      </c>
      <c r="F32" s="97">
        <f t="shared" si="5"/>
        <v>0.11256456321580965</v>
      </c>
      <c r="G32" s="98">
        <f t="shared" si="6"/>
        <v>9.442342241185725E-2</v>
      </c>
      <c r="H32" s="98">
        <f t="shared" si="6"/>
        <v>8.0817566808892932E-2</v>
      </c>
      <c r="I32" s="98">
        <f t="shared" si="6"/>
        <v>7.0613175106669701E-2</v>
      </c>
      <c r="J32" s="98">
        <f t="shared" si="6"/>
        <v>6.2959881330002271E-2</v>
      </c>
      <c r="K32" s="98">
        <f t="shared" si="6"/>
        <v>5.7219910997501705E-2</v>
      </c>
      <c r="N32" s="168" t="s">
        <v>124</v>
      </c>
      <c r="O32" s="175"/>
      <c r="P32" s="175"/>
      <c r="Q32" s="175"/>
      <c r="R32" s="175"/>
      <c r="S32" s="175"/>
    </row>
    <row r="33" spans="3:19">
      <c r="C33" t="s">
        <v>113</v>
      </c>
      <c r="E33" s="97">
        <f t="shared" si="5"/>
        <v>0.14580588493631974</v>
      </c>
      <c r="F33" s="97">
        <f t="shared" si="5"/>
        <v>0.1506324262169414</v>
      </c>
      <c r="G33" s="98">
        <f t="shared" si="6"/>
        <v>0.12297431966270606</v>
      </c>
      <c r="H33" s="98">
        <f t="shared" si="6"/>
        <v>0.10223073974702954</v>
      </c>
      <c r="I33" s="98">
        <f t="shared" si="6"/>
        <v>8.6673054810272154E-2</v>
      </c>
      <c r="J33" s="98">
        <f t="shared" si="6"/>
        <v>7.5004791107704111E-2</v>
      </c>
      <c r="K33" s="98">
        <f t="shared" si="6"/>
        <v>6.6253593330778085E-2</v>
      </c>
      <c r="N33" s="168" t="s">
        <v>124</v>
      </c>
      <c r="O33" s="175"/>
      <c r="P33" s="175"/>
      <c r="Q33" s="175"/>
      <c r="R33" s="175"/>
      <c r="S33" s="175"/>
    </row>
    <row r="34" spans="3:19">
      <c r="E34" s="97"/>
      <c r="F34" s="97"/>
      <c r="G34" s="97"/>
      <c r="H34" s="97"/>
      <c r="I34" s="97"/>
      <c r="J34" s="97"/>
      <c r="K34" s="97"/>
      <c r="N34" s="168"/>
    </row>
    <row r="35" spans="3:19">
      <c r="C35" s="26" t="s">
        <v>114</v>
      </c>
      <c r="F35" s="97"/>
      <c r="G35" s="97"/>
      <c r="H35" s="97"/>
      <c r="I35" s="97"/>
      <c r="J35" s="97"/>
      <c r="K35" s="97"/>
      <c r="N35" s="168"/>
    </row>
    <row r="36" spans="3:19">
      <c r="C36" t="s">
        <v>115</v>
      </c>
      <c r="E36" s="97">
        <f>E16/D16-1</f>
        <v>0.23308864057724099</v>
      </c>
      <c r="F36" s="97">
        <f>F16/E16-1</f>
        <v>0.31482704322649457</v>
      </c>
      <c r="G36" s="98">
        <f t="shared" ref="G36:K37" si="7">F36+($D$48-F36)*$D$47</f>
        <v>0.24612028241987094</v>
      </c>
      <c r="H36" s="98">
        <f t="shared" si="7"/>
        <v>0.19459021181490321</v>
      </c>
      <c r="I36" s="98">
        <f t="shared" si="7"/>
        <v>0.15594265886117742</v>
      </c>
      <c r="J36" s="98">
        <f t="shared" si="7"/>
        <v>0.12695699414588307</v>
      </c>
      <c r="K36" s="98">
        <f t="shared" si="7"/>
        <v>0.1052177456094123</v>
      </c>
      <c r="N36" s="168" t="s">
        <v>124</v>
      </c>
    </row>
    <row r="37" spans="3:19">
      <c r="C37" t="s">
        <v>116</v>
      </c>
      <c r="E37" s="97">
        <f>E17/D17-1</f>
        <v>2.1859362654727432E-2</v>
      </c>
      <c r="F37" s="97">
        <f>F17/E17-1</f>
        <v>6.4432989690721643E-2</v>
      </c>
      <c r="G37" s="98">
        <f t="shared" si="7"/>
        <v>5.8324742268041234E-2</v>
      </c>
      <c r="H37" s="98">
        <f t="shared" si="7"/>
        <v>5.3743556701030926E-2</v>
      </c>
      <c r="I37" s="98">
        <f t="shared" si="7"/>
        <v>5.0307667525773196E-2</v>
      </c>
      <c r="J37" s="98">
        <f t="shared" si="7"/>
        <v>4.7730750644329897E-2</v>
      </c>
      <c r="K37" s="98">
        <f t="shared" si="7"/>
        <v>4.5798062983247421E-2</v>
      </c>
      <c r="N37" s="168" t="s">
        <v>124</v>
      </c>
    </row>
    <row r="38" spans="3:19">
      <c r="E38" s="97"/>
      <c r="F38" s="97"/>
      <c r="G38" s="97"/>
      <c r="H38" s="97"/>
      <c r="I38" s="97"/>
      <c r="J38" s="97"/>
      <c r="K38" s="97"/>
      <c r="N38" s="168"/>
    </row>
    <row r="39" spans="3:19">
      <c r="C39" s="26" t="s">
        <v>117</v>
      </c>
      <c r="F39" s="97"/>
      <c r="G39" s="97"/>
      <c r="H39" s="97"/>
      <c r="I39" s="97"/>
      <c r="J39" s="97"/>
      <c r="K39" s="97"/>
      <c r="N39" s="168"/>
    </row>
    <row r="40" spans="3:19">
      <c r="C40" t="s">
        <v>118</v>
      </c>
      <c r="E40" s="97">
        <f t="shared" ref="E40:F42" si="8">E20/D20-1</f>
        <v>9.077803097242243E-2</v>
      </c>
      <c r="F40" s="97">
        <f t="shared" si="8"/>
        <v>-7.0986996376039224E-2</v>
      </c>
      <c r="G40" s="98">
        <f t="shared" ref="G40:K41" si="9">F40+($D$49-F40)*$D$47</f>
        <v>-5.3240247282029418E-2</v>
      </c>
      <c r="H40" s="98">
        <f t="shared" si="9"/>
        <v>-3.9930185461522064E-2</v>
      </c>
      <c r="I40" s="98">
        <f t="shared" si="9"/>
        <v>-2.9947639096141548E-2</v>
      </c>
      <c r="J40" s="98">
        <f t="shared" si="9"/>
        <v>-2.246072932210616E-2</v>
      </c>
      <c r="K40" s="98">
        <f t="shared" si="9"/>
        <v>-1.684554699157962E-2</v>
      </c>
      <c r="N40" s="168" t="s">
        <v>125</v>
      </c>
    </row>
    <row r="41" spans="3:19">
      <c r="C41" t="s">
        <v>119</v>
      </c>
      <c r="E41" s="97">
        <f t="shared" si="8"/>
        <v>1.6915306002584174E-2</v>
      </c>
      <c r="F41" s="97">
        <f t="shared" si="8"/>
        <v>-1.3284047591544446E-2</v>
      </c>
      <c r="G41" s="98">
        <f t="shared" si="9"/>
        <v>-9.9630356936583342E-3</v>
      </c>
      <c r="H41" s="98">
        <f t="shared" si="9"/>
        <v>-7.4722767702437506E-3</v>
      </c>
      <c r="I41" s="98">
        <f t="shared" si="9"/>
        <v>-5.604207577682813E-3</v>
      </c>
      <c r="J41" s="98">
        <f t="shared" si="9"/>
        <v>-4.2031556832621102E-3</v>
      </c>
      <c r="K41" s="98">
        <f t="shared" si="9"/>
        <v>-3.1523667624465826E-3</v>
      </c>
      <c r="N41" s="168" t="s">
        <v>126</v>
      </c>
    </row>
    <row r="42" spans="3:19">
      <c r="C42" t="s">
        <v>120</v>
      </c>
      <c r="E42" s="97">
        <f t="shared" si="8"/>
        <v>0.12774256460263289</v>
      </c>
      <c r="F42" s="97">
        <f t="shared" si="8"/>
        <v>9.352932699236205E-2</v>
      </c>
      <c r="G42" s="98">
        <f>F42+($D$48-F42)*$D$47</f>
        <v>8.0146995244271532E-2</v>
      </c>
      <c r="H42" s="98">
        <f>G42+($D$48-G42)*$D$47</f>
        <v>7.0110246433203655E-2</v>
      </c>
      <c r="I42" s="98">
        <f>H42+($D$48-H42)*$D$47</f>
        <v>6.2582684824902743E-2</v>
      </c>
      <c r="J42" s="98">
        <f>I42+($D$48-I42)*$D$47</f>
        <v>5.6937013618677056E-2</v>
      </c>
      <c r="K42" s="98">
        <f>J42+($D$48-J42)*$D$47</f>
        <v>5.2702760214007792E-2</v>
      </c>
      <c r="N42" s="168" t="s">
        <v>124</v>
      </c>
    </row>
    <row r="43" spans="3:19">
      <c r="E43" s="97"/>
      <c r="F43" s="97"/>
      <c r="G43" s="97"/>
      <c r="H43" s="97"/>
      <c r="I43" s="97"/>
      <c r="J43" s="97"/>
      <c r="K43" s="97"/>
      <c r="N43" s="168"/>
    </row>
    <row r="44" spans="3:19">
      <c r="C44" t="s">
        <v>121</v>
      </c>
      <c r="E44" s="97">
        <f>E24/D24-1</f>
        <v>0.60000000000000009</v>
      </c>
      <c r="F44" s="97">
        <f>F24/E24-1</f>
        <v>0.51388888888888884</v>
      </c>
      <c r="G44" s="98">
        <f>F44</f>
        <v>0.51388888888888884</v>
      </c>
      <c r="H44" s="98">
        <f>G44</f>
        <v>0.51388888888888884</v>
      </c>
      <c r="I44" s="98">
        <f>H44</f>
        <v>0.51388888888888884</v>
      </c>
      <c r="J44" s="98">
        <f>I44</f>
        <v>0.51388888888888884</v>
      </c>
      <c r="K44" s="98">
        <f>J44</f>
        <v>0.51388888888888884</v>
      </c>
      <c r="N44" s="168" t="s">
        <v>32</v>
      </c>
    </row>
    <row r="46" spans="3:19">
      <c r="C46" s="160" t="s">
        <v>127</v>
      </c>
    </row>
    <row r="47" spans="3:19">
      <c r="C47" s="161" t="s">
        <v>128</v>
      </c>
      <c r="D47" s="162">
        <v>0.25</v>
      </c>
    </row>
    <row r="48" spans="3:19">
      <c r="C48" s="161" t="s">
        <v>129</v>
      </c>
      <c r="D48" s="163">
        <f>Scenario!F14</f>
        <v>0.04</v>
      </c>
    </row>
    <row r="49" spans="3:11">
      <c r="C49" s="161" t="s">
        <v>130</v>
      </c>
      <c r="D49" s="164">
        <v>0</v>
      </c>
    </row>
    <row r="51" spans="3:11">
      <c r="C51" s="2"/>
      <c r="D51" s="2"/>
      <c r="E51" s="2"/>
      <c r="F51" s="2"/>
      <c r="G51" s="2"/>
      <c r="H51" s="2"/>
      <c r="I51" s="2"/>
      <c r="J51" s="2"/>
      <c r="K51" s="2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P78"/>
  <sheetViews>
    <sheetView showGridLines="0" tabSelected="1" zoomScale="78" zoomScaleNormal="78" workbookViewId="0">
      <selection activeCell="P11" sqref="P11"/>
    </sheetView>
  </sheetViews>
  <sheetFormatPr defaultColWidth="8.54296875" defaultRowHeight="14.5"/>
  <cols>
    <col min="1" max="2" width="2" customWidth="1"/>
    <col min="3" max="3" width="40" customWidth="1"/>
    <col min="4" max="4" width="13.36328125" customWidth="1"/>
    <col min="5" max="5" width="10.36328125" customWidth="1"/>
    <col min="6" max="6" width="10.453125" customWidth="1"/>
    <col min="7" max="7" width="11.36328125" customWidth="1"/>
    <col min="8" max="9" width="10.453125" customWidth="1"/>
    <col min="10" max="10" width="10.36328125" customWidth="1"/>
    <col min="11" max="12" width="2.08984375" customWidth="1"/>
  </cols>
  <sheetData>
    <row r="2" spans="3:16" ht="18.5" customHeight="1">
      <c r="C2" s="1" t="s">
        <v>131</v>
      </c>
      <c r="D2" s="2"/>
      <c r="E2" s="2"/>
      <c r="F2" s="2"/>
      <c r="G2" s="2"/>
      <c r="H2" s="2"/>
      <c r="I2" s="2"/>
      <c r="J2" s="2"/>
      <c r="K2" s="4"/>
      <c r="L2" s="4"/>
      <c r="M2" s="4"/>
      <c r="N2" s="4"/>
      <c r="O2" s="4"/>
      <c r="P2" s="5" t="s">
        <v>0</v>
      </c>
    </row>
    <row r="3" spans="3:16">
      <c r="C3" s="6" t="str">
        <f>'3-Statement'!C3</f>
        <v>$ mm except per share</v>
      </c>
    </row>
    <row r="5" spans="3:16">
      <c r="C5" t="s">
        <v>132</v>
      </c>
      <c r="E5" s="11">
        <f>'3-Statement'!D9</f>
        <v>46203</v>
      </c>
      <c r="G5" t="s">
        <v>133</v>
      </c>
      <c r="I5" s="99">
        <f>Scenario!F13</f>
        <v>9.2939429251307951E-2</v>
      </c>
    </row>
    <row r="6" spans="3:16">
      <c r="C6" t="s">
        <v>134</v>
      </c>
      <c r="E6" s="11">
        <f>F12</f>
        <v>46568</v>
      </c>
      <c r="G6" t="s">
        <v>135</v>
      </c>
      <c r="I6" s="100">
        <f>'3-Statement'!D7</f>
        <v>529.29999999999995</v>
      </c>
      <c r="K6" s="101"/>
    </row>
    <row r="7" spans="3:16">
      <c r="C7" t="s">
        <v>136</v>
      </c>
      <c r="E7" s="11">
        <f>'3-Statement'!D8</f>
        <v>46301</v>
      </c>
      <c r="G7" t="s">
        <v>137</v>
      </c>
      <c r="I7" s="11">
        <f>E7</f>
        <v>46301</v>
      </c>
      <c r="J7" s="101"/>
      <c r="K7" s="101"/>
    </row>
    <row r="8" spans="3:16">
      <c r="C8" t="s">
        <v>138</v>
      </c>
      <c r="E8" s="102">
        <f>YEARFRAC(E7,E6)</f>
        <v>0.73333333333333328</v>
      </c>
      <c r="G8" s="101"/>
      <c r="H8" s="101"/>
      <c r="I8" s="101"/>
    </row>
    <row r="9" spans="3:16">
      <c r="E9" s="103"/>
    </row>
    <row r="10" spans="3:16">
      <c r="C10" s="95" t="s">
        <v>139</v>
      </c>
      <c r="D10" s="15"/>
      <c r="E10" s="104"/>
      <c r="F10" s="15"/>
      <c r="G10" s="105"/>
      <c r="H10" s="105"/>
      <c r="I10" s="105"/>
      <c r="J10" s="105"/>
    </row>
    <row r="11" spans="3:16" ht="15.75" customHeight="1">
      <c r="C11" s="79" t="s">
        <v>11</v>
      </c>
      <c r="D11" s="106"/>
      <c r="E11" s="96">
        <f>'3-Statement'!F13</f>
        <v>2026</v>
      </c>
      <c r="F11" s="18">
        <f>'3-Statement'!G13</f>
        <v>2027</v>
      </c>
      <c r="G11" s="18">
        <f>'3-Statement'!H13</f>
        <v>2028</v>
      </c>
      <c r="H11" s="18">
        <f>'3-Statement'!I13</f>
        <v>2029</v>
      </c>
      <c r="I11" s="18">
        <f>'3-Statement'!J13</f>
        <v>2030</v>
      </c>
      <c r="J11" s="18">
        <f>'3-Statement'!K13</f>
        <v>2031</v>
      </c>
    </row>
    <row r="12" spans="3:16">
      <c r="C12" s="19" t="s">
        <v>12</v>
      </c>
      <c r="D12" s="107"/>
      <c r="E12" s="20">
        <f>'3-Statement'!F14</f>
        <v>46203</v>
      </c>
      <c r="F12" s="20">
        <f>'3-Statement'!G14</f>
        <v>46568</v>
      </c>
      <c r="G12" s="20">
        <f>'3-Statement'!H14</f>
        <v>46934</v>
      </c>
      <c r="H12" s="20">
        <f>'3-Statement'!I14</f>
        <v>47299</v>
      </c>
      <c r="I12" s="20">
        <f>'3-Statement'!J14</f>
        <v>47664</v>
      </c>
      <c r="J12" s="20">
        <f>'3-Statement'!K14</f>
        <v>48029</v>
      </c>
    </row>
    <row r="13" spans="3:16">
      <c r="C13" s="21"/>
      <c r="D13" s="21"/>
      <c r="E13" s="108"/>
      <c r="F13" s="109"/>
      <c r="G13" s="109"/>
      <c r="H13" s="109"/>
      <c r="I13" s="109"/>
      <c r="J13" s="109"/>
    </row>
    <row r="14" spans="3:16">
      <c r="C14" t="s">
        <v>13</v>
      </c>
      <c r="D14" s="21"/>
      <c r="E14" s="90">
        <f>'3-Statement'!F16</f>
        <v>331839</v>
      </c>
      <c r="F14" s="25">
        <f>'3-Statement'!G16</f>
        <v>382256.14092300076</v>
      </c>
      <c r="G14" s="25">
        <f>'3-Statement'!H16</f>
        <v>431385.33407987189</v>
      </c>
      <c r="H14" s="25">
        <f>'3-Statement'!I16</f>
        <v>478324.89696038683</v>
      </c>
      <c r="I14" s="25">
        <f>'3-Statement'!J16</f>
        <v>522744.15458774939</v>
      </c>
      <c r="J14" s="25">
        <f>'3-Statement'!K16</f>
        <v>564722.40808270394</v>
      </c>
    </row>
    <row r="15" spans="3:16">
      <c r="C15" s="30" t="s">
        <v>140</v>
      </c>
      <c r="D15" s="21"/>
      <c r="E15" s="74">
        <f>'3-Statement'!F35</f>
        <v>0.17788686799846665</v>
      </c>
      <c r="F15" s="102">
        <f>'3-Statement'!G35</f>
        <v>0.15193253632936687</v>
      </c>
      <c r="G15" s="102">
        <f>'3-Statement'!H35</f>
        <v>0.12852427442563275</v>
      </c>
      <c r="H15" s="102">
        <f>'3-Statement'!I35</f>
        <v>0.10881121626592893</v>
      </c>
      <c r="I15" s="102">
        <f>'3-Statement'!J35</f>
        <v>9.2864197347104049E-2</v>
      </c>
      <c r="J15" s="102">
        <f>'3-Statement'!K35</f>
        <v>8.0303630612684307E-2</v>
      </c>
      <c r="L15" s="74"/>
    </row>
    <row r="16" spans="3:16">
      <c r="C16" t="s">
        <v>26</v>
      </c>
      <c r="D16" s="21"/>
      <c r="E16" s="90">
        <f>'3-Statement'!F30</f>
        <v>193771</v>
      </c>
      <c r="F16" s="25">
        <f>'3-Statement'!G30</f>
        <v>225882.40497152411</v>
      </c>
      <c r="G16" s="25">
        <f>'3-Statement'!H30</f>
        <v>257928.38767783952</v>
      </c>
      <c r="H16" s="25">
        <f>'3-Statement'!I30</f>
        <v>289336.5231876811</v>
      </c>
      <c r="I16" s="25">
        <f>'3-Statement'!J30</f>
        <v>319858.57213140716</v>
      </c>
      <c r="J16" s="25">
        <f>'3-Statement'!K30</f>
        <v>349490.77448350249</v>
      </c>
    </row>
    <row r="17" spans="3:14">
      <c r="C17" s="30" t="s">
        <v>141</v>
      </c>
      <c r="D17" s="21"/>
      <c r="E17" s="74">
        <f t="shared" ref="E17:J17" si="0">E16/E14</f>
        <v>0.58393076160427193</v>
      </c>
      <c r="F17" s="102">
        <f t="shared" si="0"/>
        <v>0.5909189697413505</v>
      </c>
      <c r="G17" s="102">
        <f t="shared" si="0"/>
        <v>0.59790717787842906</v>
      </c>
      <c r="H17" s="102">
        <f t="shared" si="0"/>
        <v>0.60489538601550763</v>
      </c>
      <c r="I17" s="102">
        <f t="shared" si="0"/>
        <v>0.61188359415258609</v>
      </c>
      <c r="J17" s="102">
        <f t="shared" si="0"/>
        <v>0.61887180228966465</v>
      </c>
    </row>
    <row r="18" spans="3:14">
      <c r="C18" t="s">
        <v>142</v>
      </c>
      <c r="D18" s="21"/>
      <c r="E18" s="90">
        <f>'3-Statement'!F21</f>
        <v>155237</v>
      </c>
      <c r="F18" s="25">
        <f>'3-Statement'!G21</f>
        <v>178822.55114216194</v>
      </c>
      <c r="G18" s="25">
        <f>'3-Statement'!H21</f>
        <v>201805.58977864895</v>
      </c>
      <c r="H18" s="25">
        <f>'3-Statement'!I21</f>
        <v>223764.30145172687</v>
      </c>
      <c r="I18" s="25">
        <f>'3-Statement'!J21</f>
        <v>244543.99370097686</v>
      </c>
      <c r="J18" s="25">
        <f>'3-Statement'!K21</f>
        <v>264181.76423969073</v>
      </c>
    </row>
    <row r="19" spans="3:14">
      <c r="C19" s="30" t="s">
        <v>141</v>
      </c>
      <c r="D19" s="21"/>
      <c r="E19" s="74">
        <f t="shared" ref="E19:J19" si="1">E18/E14</f>
        <v>0.46780818408927222</v>
      </c>
      <c r="F19" s="102">
        <f t="shared" si="1"/>
        <v>0.46780818408927227</v>
      </c>
      <c r="G19" s="102">
        <f t="shared" si="1"/>
        <v>0.46780818408927233</v>
      </c>
      <c r="H19" s="102">
        <f t="shared" si="1"/>
        <v>0.46780818408927238</v>
      </c>
      <c r="I19" s="102">
        <f t="shared" si="1"/>
        <v>0.46780818408927227</v>
      </c>
      <c r="J19" s="102">
        <f t="shared" si="1"/>
        <v>0.46780818408927233</v>
      </c>
    </row>
    <row r="20" spans="3:14">
      <c r="C20" s="30"/>
      <c r="D20" s="21"/>
      <c r="E20" s="90"/>
      <c r="F20" s="110"/>
      <c r="G20" s="110"/>
      <c r="H20" s="110"/>
      <c r="I20" s="110"/>
      <c r="J20" s="110"/>
    </row>
    <row r="21" spans="3:14">
      <c r="C21" t="s">
        <v>143</v>
      </c>
      <c r="D21" s="21"/>
      <c r="E21" s="90">
        <f>'3-Statement'!F26</f>
        <v>-32185</v>
      </c>
      <c r="F21" s="25">
        <f>-F18*F22</f>
        <v>-34684.897661181443</v>
      </c>
      <c r="G21" s="25">
        <f>-G18*G22</f>
        <v>-39142.748966612126</v>
      </c>
      <c r="H21" s="25">
        <f>-H18*H22</f>
        <v>-43401.919089661125</v>
      </c>
      <c r="I21" s="25">
        <f>-I18*I22</f>
        <v>-47432.403469246448</v>
      </c>
      <c r="J21" s="25">
        <f>-J18*J22</f>
        <v>-51241.397676512628</v>
      </c>
    </row>
    <row r="22" spans="3:14">
      <c r="C22" s="30" t="s">
        <v>35</v>
      </c>
      <c r="D22" s="21"/>
      <c r="E22" s="41">
        <f>'3-Statement'!F39</f>
        <v>0.19396265985271252</v>
      </c>
      <c r="F22" s="111">
        <f>'3-Statement'!G39</f>
        <v>0.19396265985271252</v>
      </c>
      <c r="G22" s="111">
        <f>'3-Statement'!H39</f>
        <v>0.19396265985271252</v>
      </c>
      <c r="H22" s="111">
        <f>'3-Statement'!I39</f>
        <v>0.19396265985271252</v>
      </c>
      <c r="I22" s="111">
        <f>'3-Statement'!J39</f>
        <v>0.19396265985271252</v>
      </c>
      <c r="J22" s="111">
        <f>'3-Statement'!K39</f>
        <v>0.19396265985271252</v>
      </c>
    </row>
    <row r="23" spans="3:14">
      <c r="C23" s="26" t="s">
        <v>144</v>
      </c>
      <c r="D23" s="21"/>
      <c r="E23" s="112">
        <f t="shared" ref="E23:J23" si="2">E18+E21</f>
        <v>123052</v>
      </c>
      <c r="F23" s="113">
        <f t="shared" si="2"/>
        <v>144137.65348098049</v>
      </c>
      <c r="G23" s="113">
        <f t="shared" si="2"/>
        <v>162662.84081203683</v>
      </c>
      <c r="H23" s="113">
        <f t="shared" si="2"/>
        <v>180362.38236206575</v>
      </c>
      <c r="I23" s="113">
        <f t="shared" si="2"/>
        <v>197111.59023173043</v>
      </c>
      <c r="J23" s="113">
        <f t="shared" si="2"/>
        <v>212940.3665631781</v>
      </c>
    </row>
    <row r="24" spans="3:14">
      <c r="D24" s="21"/>
      <c r="E24" s="90"/>
      <c r="F24" s="114"/>
      <c r="G24" s="114"/>
      <c r="H24" s="114"/>
      <c r="I24" s="114"/>
      <c r="J24" s="114"/>
    </row>
    <row r="25" spans="3:14">
      <c r="C25" t="s">
        <v>25</v>
      </c>
      <c r="D25" s="21"/>
      <c r="E25" s="114"/>
      <c r="F25" s="115">
        <f>F16-F18</f>
        <v>47059.853829362168</v>
      </c>
      <c r="G25" s="115">
        <f>G16-G18</f>
        <v>56122.797899190569</v>
      </c>
      <c r="H25" s="115">
        <f>H16-H18</f>
        <v>65572.221735954226</v>
      </c>
      <c r="I25" s="115">
        <f>I16-I18</f>
        <v>75314.578430430294</v>
      </c>
      <c r="J25" s="115">
        <f>J16-J18</f>
        <v>85309.010243811761</v>
      </c>
      <c r="N25" s="69"/>
    </row>
    <row r="26" spans="3:14">
      <c r="C26" t="s">
        <v>145</v>
      </c>
      <c r="D26" s="21"/>
      <c r="E26" s="112"/>
      <c r="F26" s="25">
        <f>'3-Statement'!G74+'3-Statement'!G75</f>
        <v>4782.5323785757937</v>
      </c>
      <c r="G26" s="25">
        <f>'3-Statement'!H74+'3-Statement'!H75</f>
        <v>4660.3586142436543</v>
      </c>
      <c r="H26" s="25">
        <f>'3-Statement'!I74+'3-Statement'!I75</f>
        <v>4452.6519196141453</v>
      </c>
      <c r="I26" s="25">
        <f>'3-Statement'!J74+'3-Statement'!J75</f>
        <v>4213.5776433575375</v>
      </c>
      <c r="J26" s="25">
        <f>'3-Statement'!K74+'3-Statement'!K75</f>
        <v>3982.0258122588857</v>
      </c>
      <c r="N26" s="116"/>
    </row>
    <row r="27" spans="3:14">
      <c r="C27" t="s">
        <v>61</v>
      </c>
      <c r="D27" s="21"/>
      <c r="E27" s="112"/>
      <c r="F27" s="25">
        <f>('3-Statement'!G80)*-1</f>
        <v>133564.27372231742</v>
      </c>
      <c r="G27" s="25">
        <f>('3-Statement'!H80)*-1</f>
        <v>150730.52509166487</v>
      </c>
      <c r="H27" s="25">
        <f>('3-Statement'!I80)*-1</f>
        <v>167131.69685529103</v>
      </c>
      <c r="I27" s="25">
        <f>('3-Statement'!J80)*-1</f>
        <v>182652.24773501715</v>
      </c>
      <c r="J27" s="25">
        <f>('3-Statement'!K80)*-1</f>
        <v>197319.88636770647</v>
      </c>
      <c r="L27" s="168" t="s">
        <v>203</v>
      </c>
      <c r="N27" s="116"/>
    </row>
    <row r="28" spans="3:14">
      <c r="C28" s="30" t="s">
        <v>79</v>
      </c>
      <c r="D28" s="21"/>
      <c r="E28" s="112"/>
      <c r="F28" s="102">
        <f>F27/F14</f>
        <v>0.34941040685392616</v>
      </c>
      <c r="G28" s="102">
        <f>G27/G14</f>
        <v>0.3494104068539261</v>
      </c>
      <c r="H28" s="102">
        <f>H27/H14</f>
        <v>0.34941040685392605</v>
      </c>
      <c r="I28" s="102">
        <f>I27/I14</f>
        <v>0.3494104068539261</v>
      </c>
      <c r="J28" s="102">
        <f>J27/J14</f>
        <v>0.3494104068539261</v>
      </c>
      <c r="N28" s="116"/>
    </row>
    <row r="29" spans="3:14">
      <c r="D29" s="21"/>
      <c r="E29" s="117"/>
      <c r="F29" s="24"/>
      <c r="G29" s="24"/>
      <c r="H29" s="24"/>
      <c r="I29" s="24"/>
      <c r="J29" s="24"/>
      <c r="N29" s="116"/>
    </row>
    <row r="30" spans="3:14">
      <c r="C30" s="26" t="s">
        <v>146</v>
      </c>
      <c r="D30" s="21"/>
      <c r="E30" s="118"/>
      <c r="F30" s="119">
        <f>F23+F25+F26-F27</f>
        <v>62415.76596660103</v>
      </c>
      <c r="G30" s="119">
        <f>G23+G25+G26-G27</f>
        <v>72715.472233806184</v>
      </c>
      <c r="H30" s="119">
        <f>H23+H25+H26-H27</f>
        <v>83255.559162343096</v>
      </c>
      <c r="I30" s="119">
        <f>I23+I25+I26-I27</f>
        <v>93987.498570501164</v>
      </c>
      <c r="J30" s="119">
        <f>J23+J25+J26-J27</f>
        <v>104911.51625154231</v>
      </c>
      <c r="N30" s="118"/>
    </row>
    <row r="31" spans="3:14">
      <c r="D31" s="21"/>
      <c r="E31" s="110"/>
      <c r="N31" s="116"/>
    </row>
    <row r="32" spans="3:14">
      <c r="C32" s="95" t="s">
        <v>147</v>
      </c>
      <c r="D32" s="95"/>
      <c r="E32" s="95"/>
      <c r="F32" s="95"/>
      <c r="G32" s="95"/>
      <c r="H32" s="95"/>
      <c r="I32" s="95"/>
      <c r="J32" s="95"/>
      <c r="K32" s="110"/>
    </row>
    <row r="33" spans="3:16">
      <c r="E33" s="26" t="s">
        <v>148</v>
      </c>
      <c r="F33" s="26" t="s">
        <v>149</v>
      </c>
      <c r="G33" s="26" t="s">
        <v>150</v>
      </c>
      <c r="H33" s="26" t="s">
        <v>151</v>
      </c>
      <c r="I33" s="26" t="s">
        <v>152</v>
      </c>
      <c r="J33" s="26" t="s">
        <v>153</v>
      </c>
      <c r="K33" s="110"/>
    </row>
    <row r="34" spans="3:16">
      <c r="C34" t="s">
        <v>154</v>
      </c>
      <c r="D34" s="120" t="s">
        <v>155</v>
      </c>
      <c r="E34" s="121">
        <f>E7</f>
        <v>46301</v>
      </c>
      <c r="F34" s="121">
        <f>F12</f>
        <v>46568</v>
      </c>
      <c r="G34" s="121">
        <f>G12</f>
        <v>46934</v>
      </c>
      <c r="H34" s="121">
        <f>H12</f>
        <v>47299</v>
      </c>
      <c r="I34" s="121">
        <f>I12</f>
        <v>47664</v>
      </c>
      <c r="J34" s="121">
        <f>J12</f>
        <v>48029</v>
      </c>
      <c r="K34" s="110"/>
    </row>
    <row r="35" spans="3:16">
      <c r="C35" t="s">
        <v>156</v>
      </c>
      <c r="D35" s="122">
        <f>E8</f>
        <v>0.73333333333333328</v>
      </c>
      <c r="E35" s="116"/>
      <c r="F35" s="115">
        <f>F30*D35</f>
        <v>45771.561708840753</v>
      </c>
      <c r="G35" s="115">
        <f>G30</f>
        <v>72715.472233806184</v>
      </c>
      <c r="H35" s="115">
        <f>H30</f>
        <v>83255.559162343096</v>
      </c>
      <c r="I35" s="115">
        <f>I30</f>
        <v>93987.498570501164</v>
      </c>
      <c r="J35" s="115">
        <f>J30</f>
        <v>104911.51625154231</v>
      </c>
      <c r="K35" s="114"/>
      <c r="L35" s="114"/>
      <c r="M35" s="114"/>
      <c r="N35" s="114"/>
    </row>
    <row r="36" spans="3:16">
      <c r="C36" s="26" t="s">
        <v>157</v>
      </c>
      <c r="D36" s="52"/>
      <c r="F36" s="119">
        <f>F35/(1+$I$5)^((F34-$E$34)/365)</f>
        <v>42890.629812459782</v>
      </c>
      <c r="G36" s="119">
        <f>G35/(1+$I$5)^((G34-$E$34)/365)</f>
        <v>62329.218991248657</v>
      </c>
      <c r="H36" s="119">
        <f>H35/(1+$I$5)^((H34-$E$34)/365)</f>
        <v>65295.312410934646</v>
      </c>
      <c r="I36" s="119">
        <f>I35/(1+$I$5)^((I34-$E$34)/365)</f>
        <v>67443.912984001639</v>
      </c>
      <c r="J36" s="119">
        <f>J35/(1+$I$5)^((J34-$E$34)/365)</f>
        <v>68881.046703892353</v>
      </c>
      <c r="K36" s="114"/>
      <c r="O36" s="114"/>
      <c r="P36" s="114"/>
    </row>
    <row r="38" spans="3:16">
      <c r="C38" s="26" t="s">
        <v>158</v>
      </c>
    </row>
    <row r="39" spans="3:16">
      <c r="C39" t="s">
        <v>159</v>
      </c>
      <c r="D39" s="102">
        <f>Scenario!F14</f>
        <v>0.04</v>
      </c>
    </row>
    <row r="40" spans="3:16">
      <c r="C40" s="123" t="s">
        <v>160</v>
      </c>
      <c r="D40" s="124">
        <f>D74</f>
        <v>191930.25039561122</v>
      </c>
    </row>
    <row r="41" spans="3:16">
      <c r="C41" t="s">
        <v>161</v>
      </c>
      <c r="D41" s="124">
        <f>D40/(I5-D39)</f>
        <v>3625468.8255988192</v>
      </c>
    </row>
    <row r="42" spans="3:16">
      <c r="C42" t="s">
        <v>162</v>
      </c>
      <c r="D42" s="124">
        <f>D41/(1+I5)^((J34-E34)/365)</f>
        <v>2380349.6167267221</v>
      </c>
    </row>
    <row r="43" spans="3:16">
      <c r="C43" t="s">
        <v>163</v>
      </c>
      <c r="D43" s="115">
        <f>SUM(F36:J36)</f>
        <v>306840.12090253708</v>
      </c>
    </row>
    <row r="44" spans="3:16">
      <c r="C44" s="26" t="s">
        <v>164</v>
      </c>
      <c r="D44" s="125">
        <f>D42+D43</f>
        <v>2687189.737629259</v>
      </c>
    </row>
    <row r="46" spans="3:16">
      <c r="C46" s="126" t="s">
        <v>165</v>
      </c>
      <c r="D46" s="127">
        <f>D42/D44</f>
        <v>0.88581374935837509</v>
      </c>
    </row>
    <row r="47" spans="3:16">
      <c r="C47" s="126" t="s">
        <v>166</v>
      </c>
      <c r="D47" s="127">
        <f>D43/D44</f>
        <v>0.11418625064162499</v>
      </c>
    </row>
    <row r="48" spans="3:16">
      <c r="C48" s="126" t="s">
        <v>167</v>
      </c>
      <c r="D48" s="128">
        <f>D41/J16</f>
        <v>10.373575185086773</v>
      </c>
    </row>
    <row r="50" spans="2:12">
      <c r="B50" s="126"/>
      <c r="C50" s="95" t="s">
        <v>168</v>
      </c>
      <c r="D50" s="95"/>
      <c r="E50" s="95"/>
      <c r="F50" s="95"/>
      <c r="G50" s="95"/>
      <c r="H50" s="95"/>
      <c r="I50" s="95"/>
      <c r="J50" s="95"/>
    </row>
    <row r="51" spans="2:12">
      <c r="B51" s="126"/>
      <c r="C51" s="174" t="s">
        <v>164</v>
      </c>
      <c r="D51" s="130">
        <f>D44</f>
        <v>2687189.737629259</v>
      </c>
      <c r="E51" s="126"/>
      <c r="F51" s="126"/>
      <c r="G51" s="126"/>
      <c r="H51" s="126"/>
      <c r="I51" s="126"/>
      <c r="J51" s="126"/>
    </row>
    <row r="52" spans="2:12">
      <c r="B52" s="126"/>
      <c r="C52" s="129" t="s">
        <v>169</v>
      </c>
      <c r="D52" s="131">
        <f>'3-Statement'!F44</f>
        <v>76843</v>
      </c>
      <c r="E52" s="126"/>
      <c r="F52" s="126"/>
      <c r="G52" s="126"/>
      <c r="H52" s="126"/>
      <c r="I52" s="126"/>
      <c r="J52" s="126"/>
      <c r="L52" s="50"/>
    </row>
    <row r="53" spans="2:12">
      <c r="B53" s="126"/>
      <c r="C53" s="129" t="s">
        <v>170</v>
      </c>
      <c r="D53" s="132">
        <f>-('3-Statement'!F55+'3-Statement'!F56)</f>
        <v>-40294</v>
      </c>
      <c r="E53" s="126"/>
      <c r="F53" s="126"/>
      <c r="G53" s="126"/>
      <c r="H53" s="126"/>
      <c r="I53" s="126"/>
      <c r="J53" s="126"/>
    </row>
    <row r="54" spans="2:12">
      <c r="B54" s="126"/>
      <c r="C54" s="133" t="s">
        <v>171</v>
      </c>
      <c r="D54" s="134">
        <f>SUM(D51:D53)</f>
        <v>2723738.737629259</v>
      </c>
      <c r="E54" s="126"/>
      <c r="F54" s="126"/>
      <c r="G54" s="126"/>
      <c r="H54" s="126"/>
      <c r="I54" s="126"/>
      <c r="J54" s="126"/>
    </row>
    <row r="55" spans="2:12">
      <c r="B55" s="126"/>
      <c r="C55" s="129" t="s">
        <v>172</v>
      </c>
      <c r="D55" s="131">
        <f>'3-Statement'!D10</f>
        <v>7429</v>
      </c>
      <c r="E55" s="126"/>
      <c r="F55" s="126"/>
      <c r="G55" s="126"/>
      <c r="H55" s="126"/>
      <c r="I55" s="126"/>
      <c r="J55" s="126"/>
    </row>
    <row r="56" spans="2:12">
      <c r="B56" s="126"/>
      <c r="C56" s="133" t="s">
        <v>173</v>
      </c>
      <c r="D56" s="135">
        <f>D54/D55</f>
        <v>366.63598568168783</v>
      </c>
      <c r="E56" s="126"/>
      <c r="F56" s="126"/>
      <c r="G56" s="126"/>
      <c r="H56" s="126"/>
      <c r="I56" s="126"/>
      <c r="J56" s="126"/>
    </row>
    <row r="57" spans="2:12">
      <c r="B57" s="126"/>
      <c r="C57" s="129" t="s">
        <v>135</v>
      </c>
      <c r="D57" s="136">
        <f>I6</f>
        <v>529.29999999999995</v>
      </c>
      <c r="E57" s="126"/>
      <c r="F57" s="126"/>
      <c r="G57" s="126"/>
      <c r="H57" s="126"/>
      <c r="I57" s="126"/>
      <c r="J57" s="126"/>
    </row>
    <row r="58" spans="2:12">
      <c r="B58" s="126"/>
      <c r="C58" s="129" t="s">
        <v>174</v>
      </c>
      <c r="D58" s="137">
        <f>D56/D57-1</f>
        <v>-0.30731912775044801</v>
      </c>
      <c r="E58" s="126"/>
      <c r="F58" s="126"/>
      <c r="G58" s="126"/>
      <c r="H58" s="126"/>
      <c r="I58" s="126"/>
      <c r="J58" s="126"/>
    </row>
    <row r="59" spans="2:12">
      <c r="B59" s="126"/>
      <c r="C59" s="126"/>
      <c r="D59" s="126"/>
      <c r="E59" s="126"/>
      <c r="F59" s="126"/>
      <c r="G59" s="126"/>
      <c r="H59" s="126"/>
      <c r="I59" s="126"/>
      <c r="J59" s="126"/>
    </row>
    <row r="60" spans="2:12">
      <c r="B60" s="126"/>
      <c r="C60" s="133" t="s">
        <v>175</v>
      </c>
      <c r="D60" s="126"/>
      <c r="E60" s="126"/>
      <c r="F60" s="126"/>
      <c r="G60" s="126"/>
      <c r="H60" s="126"/>
      <c r="I60" s="126"/>
      <c r="J60" s="126"/>
    </row>
    <row r="61" spans="2:12">
      <c r="B61" s="126"/>
      <c r="C61" s="126"/>
      <c r="D61" s="138">
        <f>$D$39+(-0.01)</f>
        <v>0.03</v>
      </c>
      <c r="E61" s="138">
        <f>$D$39+(-0.005)</f>
        <v>3.5000000000000003E-2</v>
      </c>
      <c r="F61" s="138">
        <f>$D$39+(0)</f>
        <v>0.04</v>
      </c>
      <c r="G61" s="138">
        <f>$D$39+(0.005)</f>
        <v>4.4999999999999998E-2</v>
      </c>
      <c r="H61" s="138">
        <f>$D$39+(0.01)</f>
        <v>0.05</v>
      </c>
      <c r="I61" s="126"/>
      <c r="J61" s="126"/>
    </row>
    <row r="62" spans="2:12">
      <c r="B62" s="126"/>
      <c r="C62" s="139">
        <f>$I$5+(-0.01)</f>
        <v>8.2939429251307956E-2</v>
      </c>
      <c r="D62" s="140">
        <f t="shared" ref="D62:H66" si="3">IF($C62&gt;D$61,(SUMPRODUCT($F$35:$J$35/(1+$C62)^(($F$34:$J$34-$E$34)/365))+$J$23*(1+D$61)*(1-D$61/$D$71)/($C62-D$61)/(1+$C62)^(($J$34-$E$34)/365)+$D$52+$D$53)/$D$55,"n/a")</f>
        <v>391.54378941380133</v>
      </c>
      <c r="E62" s="140">
        <f t="shared" si="3"/>
        <v>422.21482907896188</v>
      </c>
      <c r="F62" s="140">
        <f t="shared" si="3"/>
        <v>459.95243536620836</v>
      </c>
      <c r="G62" s="140">
        <f t="shared" si="3"/>
        <v>507.55049583323574</v>
      </c>
      <c r="H62" s="140">
        <f t="shared" si="3"/>
        <v>569.49927688898163</v>
      </c>
      <c r="I62" s="126"/>
      <c r="J62" s="126"/>
    </row>
    <row r="63" spans="2:12">
      <c r="B63" s="126"/>
      <c r="C63" s="139">
        <f>$I$5+(-0.005)</f>
        <v>8.7939429251307946E-2</v>
      </c>
      <c r="D63" s="140">
        <f t="shared" si="3"/>
        <v>354.48734333568359</v>
      </c>
      <c r="E63" s="140">
        <f t="shared" si="3"/>
        <v>378.91758227944979</v>
      </c>
      <c r="F63" s="140">
        <f t="shared" si="3"/>
        <v>408.37702171654178</v>
      </c>
      <c r="G63" s="140">
        <f t="shared" si="3"/>
        <v>444.6225086455155</v>
      </c>
      <c r="H63" s="140">
        <f t="shared" si="3"/>
        <v>490.33702260472933</v>
      </c>
      <c r="I63" s="126"/>
      <c r="J63" s="126"/>
    </row>
    <row r="64" spans="2:12">
      <c r="B64" s="126"/>
      <c r="C64" s="139">
        <f>$I$5+(0)</f>
        <v>9.2939429251307951E-2</v>
      </c>
      <c r="D64" s="140">
        <f t="shared" si="3"/>
        <v>323.40231739584158</v>
      </c>
      <c r="E64" s="140">
        <f t="shared" si="3"/>
        <v>343.18075074001825</v>
      </c>
      <c r="F64" s="141">
        <f t="shared" si="3"/>
        <v>366.63598568168783</v>
      </c>
      <c r="G64" s="140">
        <f t="shared" si="3"/>
        <v>394.91847446493676</v>
      </c>
      <c r="H64" s="140">
        <f t="shared" si="3"/>
        <v>429.71451820941701</v>
      </c>
      <c r="I64" s="126"/>
      <c r="J64" s="126"/>
    </row>
    <row r="65" spans="2:10">
      <c r="B65" s="126"/>
      <c r="C65" s="139">
        <f>$I$5+(0.005)</f>
        <v>9.7939429251307955E-2</v>
      </c>
      <c r="D65" s="140">
        <f t="shared" si="3"/>
        <v>296.96803026535252</v>
      </c>
      <c r="E65" s="140">
        <f t="shared" si="3"/>
        <v>313.20013275797419</v>
      </c>
      <c r="F65" s="140">
        <f t="shared" si="3"/>
        <v>332.1808215265678</v>
      </c>
      <c r="G65" s="140">
        <f t="shared" si="3"/>
        <v>354.68888838514852</v>
      </c>
      <c r="H65" s="140">
        <f t="shared" si="3"/>
        <v>381.82803173347111</v>
      </c>
      <c r="I65" s="126"/>
      <c r="J65" s="126"/>
    </row>
    <row r="66" spans="2:10">
      <c r="B66" s="126"/>
      <c r="C66" s="139">
        <f>$I$5+(0.01)</f>
        <v>0.10293942925130795</v>
      </c>
      <c r="D66" s="140">
        <f t="shared" si="3"/>
        <v>274.22600401374336</v>
      </c>
      <c r="E66" s="140">
        <f t="shared" si="3"/>
        <v>287.70272212399118</v>
      </c>
      <c r="F66" s="140">
        <f t="shared" si="3"/>
        <v>303.27292916602767</v>
      </c>
      <c r="G66" s="140">
        <f t="shared" si="3"/>
        <v>321.47861069929974</v>
      </c>
      <c r="H66" s="140">
        <f t="shared" si="3"/>
        <v>343.06650914108764</v>
      </c>
      <c r="I66" s="126"/>
      <c r="J66" s="126"/>
    </row>
    <row r="67" spans="2:10">
      <c r="B67" s="126"/>
      <c r="C67" s="126"/>
      <c r="D67" s="126"/>
      <c r="E67" s="126"/>
      <c r="F67" s="126"/>
      <c r="G67" s="126"/>
      <c r="H67" s="126"/>
      <c r="I67" s="126"/>
      <c r="J67" s="126"/>
    </row>
    <row r="68" spans="2:10">
      <c r="B68" s="126"/>
      <c r="C68" s="142" t="s">
        <v>176</v>
      </c>
      <c r="D68" s="126"/>
      <c r="E68" s="126"/>
      <c r="F68" s="126"/>
      <c r="G68" s="126"/>
      <c r="H68" s="126"/>
      <c r="I68" s="126"/>
      <c r="J68" s="126"/>
    </row>
    <row r="69" spans="2:10">
      <c r="B69" s="126"/>
      <c r="C69" s="126"/>
      <c r="D69" s="126"/>
      <c r="E69" s="126"/>
      <c r="F69" s="126"/>
      <c r="G69" s="126"/>
      <c r="H69" s="126"/>
      <c r="I69" s="126"/>
      <c r="J69" s="126"/>
    </row>
    <row r="70" spans="2:10">
      <c r="B70" s="126"/>
      <c r="C70" s="95" t="s">
        <v>177</v>
      </c>
      <c r="D70" s="95"/>
      <c r="E70" s="95"/>
      <c r="F70" s="95"/>
      <c r="G70" s="95"/>
      <c r="H70" s="95"/>
      <c r="I70" s="95"/>
      <c r="J70" s="95"/>
    </row>
    <row r="71" spans="2:10">
      <c r="B71" s="126"/>
      <c r="C71" s="166" t="s">
        <v>178</v>
      </c>
      <c r="D71" s="167">
        <v>0.3</v>
      </c>
      <c r="E71" s="168" t="s">
        <v>179</v>
      </c>
      <c r="F71" s="126"/>
      <c r="G71" s="126"/>
      <c r="H71" s="126"/>
      <c r="I71" s="126"/>
      <c r="J71" s="126"/>
    </row>
    <row r="72" spans="2:10">
      <c r="B72" s="126"/>
      <c r="C72" s="166" t="s">
        <v>180</v>
      </c>
      <c r="D72" s="169">
        <f>D39/D71</f>
        <v>0.13333333333333333</v>
      </c>
      <c r="E72" s="126"/>
      <c r="F72" s="126"/>
      <c r="G72" s="126"/>
      <c r="H72" s="126"/>
      <c r="I72" s="126"/>
      <c r="J72" s="126"/>
    </row>
    <row r="73" spans="2:10">
      <c r="B73" s="126"/>
      <c r="C73" s="166" t="s">
        <v>181</v>
      </c>
      <c r="D73" s="170">
        <f>J23*(1+D39)</f>
        <v>221457.98122570524</v>
      </c>
      <c r="E73" s="126"/>
      <c r="F73" s="126"/>
      <c r="G73" s="126"/>
      <c r="H73" s="126"/>
      <c r="I73" s="126"/>
      <c r="J73" s="126"/>
    </row>
    <row r="74" spans="2:10">
      <c r="B74" s="126"/>
      <c r="C74" s="171" t="s">
        <v>182</v>
      </c>
      <c r="D74" s="172">
        <f>D73*(1-D72)</f>
        <v>191930.25039561122</v>
      </c>
      <c r="E74" s="126"/>
      <c r="F74" s="126"/>
      <c r="G74" s="126"/>
      <c r="H74" s="126"/>
      <c r="I74" s="126"/>
      <c r="J74" s="126"/>
    </row>
    <row r="75" spans="2:10">
      <c r="B75" s="126"/>
      <c r="C75" s="166" t="s">
        <v>183</v>
      </c>
      <c r="D75" s="170">
        <f>J30*(1+D39)</f>
        <v>109107.97690160401</v>
      </c>
      <c r="E75" s="126"/>
      <c r="F75" s="126"/>
      <c r="G75" s="126"/>
      <c r="H75" s="126"/>
      <c r="I75" s="126"/>
      <c r="J75" s="126"/>
    </row>
    <row r="76" spans="2:10">
      <c r="B76" s="126"/>
      <c r="C76" s="126"/>
      <c r="D76" s="126"/>
      <c r="E76" s="126"/>
      <c r="F76" s="126"/>
      <c r="G76" s="126"/>
      <c r="H76" s="126"/>
      <c r="I76" s="126"/>
      <c r="J76" s="126"/>
    </row>
    <row r="77" spans="2:10">
      <c r="B77" s="126"/>
      <c r="C77" s="165"/>
      <c r="D77" s="165"/>
      <c r="E77" s="165"/>
      <c r="F77" s="165"/>
      <c r="G77" s="165"/>
      <c r="H77" s="165"/>
      <c r="I77" s="165"/>
      <c r="J77" s="165"/>
    </row>
    <row r="78" spans="2:10">
      <c r="B78" s="126"/>
      <c r="C78" s="126"/>
      <c r="D78" s="126"/>
      <c r="E78" s="126"/>
      <c r="F78" s="126"/>
      <c r="G78" s="126"/>
      <c r="H78" s="126"/>
      <c r="I78" s="126"/>
      <c r="J78" s="126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2:J24"/>
  <sheetViews>
    <sheetView showGridLines="0" zoomScale="76" zoomScaleNormal="97" workbookViewId="0">
      <selection activeCell="M15" sqref="M15"/>
    </sheetView>
  </sheetViews>
  <sheetFormatPr defaultColWidth="8.54296875" defaultRowHeight="14.5"/>
  <cols>
    <col min="1" max="2" width="1.81640625" customWidth="1"/>
    <col min="3" max="3" width="31.81640625" customWidth="1"/>
    <col min="4" max="4" width="11.90625" customWidth="1"/>
    <col min="5" max="5" width="13.6328125" customWidth="1"/>
    <col min="11" max="12" width="2" customWidth="1"/>
  </cols>
  <sheetData>
    <row r="2" spans="3:10" ht="18.5" customHeight="1">
      <c r="C2" s="1" t="s">
        <v>184</v>
      </c>
      <c r="D2" s="2"/>
      <c r="E2" s="2"/>
      <c r="F2" s="2"/>
      <c r="G2" s="2"/>
      <c r="H2" s="2"/>
      <c r="I2" s="2"/>
      <c r="J2" s="5" t="s">
        <v>0</v>
      </c>
    </row>
    <row r="3" spans="3:10">
      <c r="C3" s="6" t="str">
        <f>'3-Statement'!C3</f>
        <v>$ mm except per share</v>
      </c>
    </row>
    <row r="5" spans="3:10">
      <c r="C5" s="52" t="s">
        <v>185</v>
      </c>
      <c r="D5" s="7"/>
      <c r="E5" s="7"/>
      <c r="F5" s="143"/>
      <c r="G5" s="144"/>
    </row>
    <row r="6" spans="3:10">
      <c r="F6" s="95" t="s">
        <v>186</v>
      </c>
      <c r="G6" s="15"/>
      <c r="H6" s="15"/>
      <c r="I6" s="15"/>
    </row>
    <row r="7" spans="3:10">
      <c r="C7" t="s">
        <v>187</v>
      </c>
      <c r="D7" s="78">
        <v>5.4699999999999999E-2</v>
      </c>
      <c r="F7" s="168" t="s">
        <v>188</v>
      </c>
    </row>
    <row r="8" spans="3:10">
      <c r="C8" t="s">
        <v>35</v>
      </c>
      <c r="D8" s="145">
        <f>DCF!J22</f>
        <v>0.19396265985271252</v>
      </c>
    </row>
    <row r="9" spans="3:10">
      <c r="C9" t="s">
        <v>189</v>
      </c>
      <c r="D9" s="146">
        <f>D7*(1-D8)</f>
        <v>4.4090242506056622E-2</v>
      </c>
    </row>
    <row r="11" spans="3:10">
      <c r="C11" t="s">
        <v>190</v>
      </c>
      <c r="D11" s="78">
        <v>5.2699999999999997E-2</v>
      </c>
      <c r="F11" s="168" t="s">
        <v>191</v>
      </c>
    </row>
    <row r="12" spans="3:10">
      <c r="C12" t="s">
        <v>192</v>
      </c>
      <c r="D12" s="147">
        <v>0.97</v>
      </c>
      <c r="F12" s="168" t="s">
        <v>193</v>
      </c>
    </row>
    <row r="13" spans="3:10">
      <c r="C13" t="s">
        <v>194</v>
      </c>
      <c r="D13" s="78">
        <v>4.2000000000000003E-2</v>
      </c>
      <c r="F13" s="168" t="s">
        <v>195</v>
      </c>
    </row>
    <row r="14" spans="3:10">
      <c r="C14" t="s">
        <v>196</v>
      </c>
      <c r="D14" s="148">
        <f>D11+D12*D13</f>
        <v>9.3439999999999995E-2</v>
      </c>
    </row>
    <row r="15" spans="3:10">
      <c r="D15" s="149"/>
    </row>
    <row r="16" spans="3:10">
      <c r="C16" s="150" t="s">
        <v>197</v>
      </c>
      <c r="D16" s="48"/>
      <c r="E16" s="48"/>
    </row>
    <row r="17" spans="3:10">
      <c r="C17" s="26"/>
      <c r="D17" s="151"/>
    </row>
    <row r="18" spans="3:10">
      <c r="D18" s="152" t="s">
        <v>198</v>
      </c>
      <c r="E18" s="152" t="s">
        <v>199</v>
      </c>
    </row>
    <row r="19" spans="3:10">
      <c r="C19" t="s">
        <v>200</v>
      </c>
      <c r="D19" s="153">
        <f>'3-Statement'!D7*'3-Statement'!D10</f>
        <v>3932169.6999999997</v>
      </c>
      <c r="E19" s="154">
        <f>D19/(D19+D20)</f>
        <v>0.98985667257324461</v>
      </c>
    </row>
    <row r="20" spans="3:10">
      <c r="C20" t="s">
        <v>201</v>
      </c>
      <c r="D20" s="153">
        <f>'3-Statement'!F56</f>
        <v>40294</v>
      </c>
      <c r="E20" s="154">
        <f>D20/(D19+D20)</f>
        <v>1.0143327426755342E-2</v>
      </c>
      <c r="I20" s="155"/>
    </row>
    <row r="21" spans="3:10" ht="15" customHeight="1">
      <c r="I21" s="156"/>
    </row>
    <row r="22" spans="3:10">
      <c r="C22" s="157" t="s">
        <v>202</v>
      </c>
      <c r="D22" s="158"/>
      <c r="E22" s="159">
        <f>D9*E20+D14*E19</f>
        <v>9.2939429251307951E-2</v>
      </c>
    </row>
    <row r="24" spans="3:10">
      <c r="C24" s="2"/>
      <c r="D24" s="2"/>
      <c r="E24" s="2"/>
      <c r="F24" s="2"/>
      <c r="G24" s="2"/>
      <c r="H24" s="2"/>
      <c r="I24" s="2"/>
      <c r="J24" s="2"/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Summary</vt:lpstr>
      <vt:lpstr>3-Statement</vt:lpstr>
      <vt:lpstr>Scenario</vt:lpstr>
      <vt:lpstr>Revenue Build</vt:lpstr>
      <vt:lpstr>DCF</vt:lpstr>
      <vt:lpstr>WACC</vt:lpstr>
      <vt:lpstr>Summary!Print_Area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Jourdan</dc:creator>
  <cp:lastModifiedBy>Eduardo Jourdan</cp:lastModifiedBy>
  <cp:revision>0</cp:revision>
  <dcterms:created xsi:type="dcterms:W3CDTF">2026-10-02T16:01:07Z</dcterms:created>
  <dcterms:modified xsi:type="dcterms:W3CDTF">2026-10-09T15:43:35Z</dcterms:modified>
  <dc:language>en-US</dc:language>
</cp:coreProperties>
</file>